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G:\1_Сухарникова ИН\1_Заседания СД\48_17.06.2021\Управа 849-ПП\"/>
    </mc:Choice>
  </mc:AlternateContent>
  <xr:revisionPtr revIDLastSave="0" documentId="8_{A54877F6-22E7-49FC-9C9A-81996119261E}" xr6:coauthVersionLast="47" xr6:coauthVersionMax="47" xr10:uidLastSave="{00000000-0000-0000-0000-000000000000}"/>
  <bookViews>
    <workbookView xWindow="-120" yWindow="-120" windowWidth="29040" windowHeight="15840" firstSheet="3" activeTab="3" xr2:uid="{00000000-000D-0000-FFFF-FFFF00000000}"/>
  </bookViews>
  <sheets>
    <sheet name="Смета по ТСН-2001" sheetId="5" r:id="rId1"/>
    <sheet name="RV_DATA" sheetId="7" state="hidden" r:id="rId2"/>
    <sheet name="Расчет стоимости ресурсов" sheetId="6" r:id="rId3"/>
    <sheet name="Ведомость объемов работ" sheetId="8" r:id="rId4"/>
    <sheet name="Source" sheetId="1" r:id="rId5"/>
    <sheet name="SourceObSm" sheetId="2" r:id="rId6"/>
    <sheet name="SmtRes" sheetId="3" r:id="rId7"/>
    <sheet name="EtalonRes" sheetId="4" r:id="rId8"/>
  </sheets>
  <definedNames>
    <definedName name="_xlnm.Print_Titles" localSheetId="3">'Ведомость объемов работ'!$15:$15</definedName>
    <definedName name="_xlnm.Print_Titles" localSheetId="2">'Расчет стоимости ресурсов'!$4:$7</definedName>
    <definedName name="_xlnm.Print_Titles" localSheetId="0">'Смета по ТСН-2001'!$34:$34</definedName>
    <definedName name="_xlnm.Print_Area" localSheetId="3">'Ведомость объемов работ'!$A$1:$E$61</definedName>
    <definedName name="_xlnm.Print_Area" localSheetId="2">'Расчет стоимости ресурсов'!$A$1:$F$24</definedName>
    <definedName name="_xlnm.Print_Area" localSheetId="0">'Смета по ТСН-2001'!$A$1:$K$295</definedName>
  </definedNames>
  <calcPr calcId="191029"/>
</workbook>
</file>

<file path=xl/calcChain.xml><?xml version="1.0" encoding="utf-8"?>
<calcChain xmlns="http://schemas.openxmlformats.org/spreadsheetml/2006/main">
  <c r="C56" i="8" l="1"/>
  <c r="B56" i="8"/>
  <c r="A56" i="8"/>
  <c r="C55" i="8"/>
  <c r="B55" i="8"/>
  <c r="A55" i="8"/>
  <c r="C54" i="8"/>
  <c r="B54" i="8"/>
  <c r="A54" i="8"/>
  <c r="C53" i="8"/>
  <c r="B53" i="8"/>
  <c r="A53" i="8"/>
  <c r="C52" i="8"/>
  <c r="B52" i="8"/>
  <c r="A52" i="8"/>
  <c r="C51" i="8"/>
  <c r="B51" i="8"/>
  <c r="A51" i="8"/>
  <c r="C50" i="8"/>
  <c r="B50" i="8"/>
  <c r="A50" i="8"/>
  <c r="C49" i="8"/>
  <c r="B49" i="8"/>
  <c r="A49" i="8"/>
  <c r="C48" i="8"/>
  <c r="B48" i="8"/>
  <c r="A48" i="8"/>
  <c r="C47" i="8"/>
  <c r="B47" i="8"/>
  <c r="A47" i="8"/>
  <c r="C46" i="8"/>
  <c r="B46" i="8"/>
  <c r="A46" i="8"/>
  <c r="C45" i="8"/>
  <c r="B45" i="8"/>
  <c r="A45" i="8"/>
  <c r="D44" i="8"/>
  <c r="C44" i="8"/>
  <c r="B44" i="8"/>
  <c r="A44" i="8"/>
  <c r="A43" i="8"/>
  <c r="C42" i="8"/>
  <c r="B42" i="8"/>
  <c r="A42" i="8"/>
  <c r="C41" i="8"/>
  <c r="B41" i="8"/>
  <c r="A41" i="8"/>
  <c r="C40" i="8"/>
  <c r="B40" i="8"/>
  <c r="A40" i="8"/>
  <c r="C39" i="8"/>
  <c r="B39" i="8"/>
  <c r="A39" i="8"/>
  <c r="C38" i="8"/>
  <c r="B38" i="8"/>
  <c r="A38" i="8"/>
  <c r="C37" i="8"/>
  <c r="B37" i="8"/>
  <c r="A37" i="8"/>
  <c r="C36" i="8"/>
  <c r="B36" i="8"/>
  <c r="A36" i="8"/>
  <c r="C35" i="8"/>
  <c r="B35" i="8"/>
  <c r="A35" i="8"/>
  <c r="C34" i="8"/>
  <c r="B34" i="8"/>
  <c r="A34" i="8"/>
  <c r="C33" i="8"/>
  <c r="B33" i="8"/>
  <c r="A33" i="8"/>
  <c r="C32" i="8"/>
  <c r="B32" i="8"/>
  <c r="A32" i="8"/>
  <c r="C31" i="8"/>
  <c r="B31" i="8"/>
  <c r="A31" i="8"/>
  <c r="C30" i="8"/>
  <c r="B30" i="8"/>
  <c r="A30" i="8"/>
  <c r="C29" i="8"/>
  <c r="B29" i="8"/>
  <c r="A29" i="8"/>
  <c r="A28" i="8"/>
  <c r="C27" i="8"/>
  <c r="B27" i="8"/>
  <c r="A27" i="8"/>
  <c r="C26" i="8"/>
  <c r="B26" i="8"/>
  <c r="A26" i="8"/>
  <c r="C25" i="8"/>
  <c r="B25" i="8"/>
  <c r="A25" i="8"/>
  <c r="C24" i="8"/>
  <c r="B24" i="8"/>
  <c r="A24" i="8"/>
  <c r="C23" i="8"/>
  <c r="B23" i="8"/>
  <c r="A23" i="8"/>
  <c r="C22" i="8"/>
  <c r="B22" i="8"/>
  <c r="A22" i="8"/>
  <c r="C21" i="8"/>
  <c r="B21" i="8"/>
  <c r="A21" i="8"/>
  <c r="C20" i="8"/>
  <c r="B20" i="8"/>
  <c r="A20" i="8"/>
  <c r="C19" i="8"/>
  <c r="B19" i="8"/>
  <c r="A19" i="8"/>
  <c r="D18" i="8"/>
  <c r="C18" i="8"/>
  <c r="B18" i="8"/>
  <c r="A18" i="8"/>
  <c r="A17" i="8"/>
  <c r="A16" i="8"/>
  <c r="A12" i="8"/>
  <c r="A11" i="8"/>
  <c r="A1" i="8"/>
  <c r="U29" i="7"/>
  <c r="H29" i="7"/>
  <c r="G29" i="7"/>
  <c r="F29" i="7"/>
  <c r="E29" i="7"/>
  <c r="D29" i="7"/>
  <c r="A29" i="7"/>
  <c r="U28" i="7"/>
  <c r="S28" i="7"/>
  <c r="P28" i="7"/>
  <c r="N28" i="7"/>
  <c r="K28" i="7"/>
  <c r="J28" i="7"/>
  <c r="H28" i="7"/>
  <c r="G28" i="7"/>
  <c r="F28" i="7"/>
  <c r="E28" i="7"/>
  <c r="U27" i="7"/>
  <c r="H27" i="7"/>
  <c r="G27" i="7"/>
  <c r="F27" i="7"/>
  <c r="E27" i="7"/>
  <c r="D27" i="7"/>
  <c r="A27" i="7"/>
  <c r="U26" i="7"/>
  <c r="H26" i="7"/>
  <c r="G26" i="7"/>
  <c r="F26" i="7"/>
  <c r="E26" i="7"/>
  <c r="D26" i="7"/>
  <c r="A26" i="7"/>
  <c r="G25" i="7"/>
  <c r="A25" i="7"/>
  <c r="U24" i="7"/>
  <c r="H24" i="7"/>
  <c r="G24" i="7"/>
  <c r="F24" i="7"/>
  <c r="E24" i="7"/>
  <c r="D24" i="7"/>
  <c r="A24" i="7"/>
  <c r="U23" i="7"/>
  <c r="S23" i="7"/>
  <c r="P23" i="7"/>
  <c r="N23" i="7"/>
  <c r="K23" i="7"/>
  <c r="J23" i="7"/>
  <c r="H23" i="7"/>
  <c r="G23" i="7"/>
  <c r="F23" i="7"/>
  <c r="E23" i="7"/>
  <c r="U22" i="7"/>
  <c r="S22" i="7"/>
  <c r="P22" i="7"/>
  <c r="N22" i="7"/>
  <c r="K22" i="7"/>
  <c r="J22" i="7"/>
  <c r="H22" i="7"/>
  <c r="G22" i="7"/>
  <c r="F22" i="7"/>
  <c r="E22" i="7"/>
  <c r="U21" i="7"/>
  <c r="H21" i="7"/>
  <c r="G21" i="7"/>
  <c r="F21" i="7"/>
  <c r="E21" i="7"/>
  <c r="D21" i="7"/>
  <c r="A21" i="7"/>
  <c r="U20" i="7"/>
  <c r="H20" i="7"/>
  <c r="G20" i="7"/>
  <c r="F20" i="7"/>
  <c r="E20" i="7"/>
  <c r="D20" i="7"/>
  <c r="A20" i="7"/>
  <c r="U19" i="7"/>
  <c r="S19" i="7"/>
  <c r="P19" i="7"/>
  <c r="N19" i="7"/>
  <c r="K19" i="7"/>
  <c r="J19" i="7"/>
  <c r="H19" i="7"/>
  <c r="G19" i="7"/>
  <c r="F19" i="7"/>
  <c r="E19" i="7"/>
  <c r="U18" i="7"/>
  <c r="H18" i="7"/>
  <c r="G18" i="7"/>
  <c r="F18" i="7"/>
  <c r="E18" i="7"/>
  <c r="D18" i="7"/>
  <c r="A18" i="7"/>
  <c r="U17" i="7"/>
  <c r="S17" i="7"/>
  <c r="P17" i="7"/>
  <c r="N17" i="7"/>
  <c r="E14" i="6" s="1"/>
  <c r="K17" i="7"/>
  <c r="J17" i="7"/>
  <c r="H17" i="7"/>
  <c r="G17" i="7"/>
  <c r="F17" i="7"/>
  <c r="E17" i="7"/>
  <c r="U16" i="7"/>
  <c r="S16" i="7"/>
  <c r="P16" i="7"/>
  <c r="N16" i="7"/>
  <c r="E16" i="6" s="1"/>
  <c r="K16" i="7"/>
  <c r="J16" i="7"/>
  <c r="H16" i="7"/>
  <c r="G16" i="7"/>
  <c r="F16" i="7"/>
  <c r="E16" i="7"/>
  <c r="U15" i="7"/>
  <c r="S15" i="7"/>
  <c r="P15" i="7"/>
  <c r="N15" i="7"/>
  <c r="E22" i="6" s="1"/>
  <c r="K15" i="7"/>
  <c r="J15" i="7"/>
  <c r="H15" i="7"/>
  <c r="G15" i="7"/>
  <c r="F15" i="7"/>
  <c r="E15" i="7"/>
  <c r="U14" i="7"/>
  <c r="H14" i="7"/>
  <c r="G14" i="7"/>
  <c r="F14" i="7"/>
  <c r="E14" i="7"/>
  <c r="D14" i="7"/>
  <c r="A14" i="7"/>
  <c r="U13" i="7"/>
  <c r="S13" i="7"/>
  <c r="P13" i="7"/>
  <c r="N13" i="7"/>
  <c r="E9" i="6" s="1"/>
  <c r="K13" i="7"/>
  <c r="J13" i="7"/>
  <c r="H13" i="7"/>
  <c r="G13" i="7"/>
  <c r="F13" i="7"/>
  <c r="E13" i="7"/>
  <c r="G12" i="7"/>
  <c r="A12" i="7"/>
  <c r="U11" i="7"/>
  <c r="H11" i="7"/>
  <c r="G11" i="7"/>
  <c r="F11" i="7"/>
  <c r="E11" i="7"/>
  <c r="D11" i="7"/>
  <c r="A11" i="7"/>
  <c r="U10" i="7"/>
  <c r="S10" i="7"/>
  <c r="P10" i="7"/>
  <c r="N10" i="7"/>
  <c r="K10" i="7"/>
  <c r="J10" i="7"/>
  <c r="H10" i="7"/>
  <c r="G10" i="7"/>
  <c r="F10" i="7"/>
  <c r="E10" i="7"/>
  <c r="U9" i="7"/>
  <c r="H9" i="7"/>
  <c r="G9" i="7"/>
  <c r="F9" i="7"/>
  <c r="E9" i="7"/>
  <c r="D9" i="7"/>
  <c r="A9" i="7"/>
  <c r="U8" i="7"/>
  <c r="S8" i="7"/>
  <c r="P8" i="7"/>
  <c r="N8" i="7"/>
  <c r="E12" i="6" s="1"/>
  <c r="K8" i="7"/>
  <c r="J8" i="7"/>
  <c r="H8" i="7"/>
  <c r="G8" i="7"/>
  <c r="F8" i="7"/>
  <c r="E8" i="7"/>
  <c r="G7" i="7"/>
  <c r="A7" i="7"/>
  <c r="G6" i="7"/>
  <c r="A6" i="7"/>
  <c r="H293" i="5"/>
  <c r="H290" i="5"/>
  <c r="C293" i="5"/>
  <c r="C290" i="5"/>
  <c r="C287" i="5"/>
  <c r="C286" i="5"/>
  <c r="J29" i="5"/>
  <c r="I29" i="5"/>
  <c r="I285" i="5"/>
  <c r="J285" i="5"/>
  <c r="I284" i="5"/>
  <c r="J284" i="5"/>
  <c r="I281" i="5"/>
  <c r="J281" i="5"/>
  <c r="I280" i="5"/>
  <c r="J280" i="5"/>
  <c r="H275" i="5"/>
  <c r="G275" i="5"/>
  <c r="E275" i="5"/>
  <c r="J274" i="5"/>
  <c r="E274" i="5"/>
  <c r="J273" i="5"/>
  <c r="E273" i="5"/>
  <c r="J272" i="5"/>
  <c r="H272" i="5"/>
  <c r="F272" i="5"/>
  <c r="D272" i="5"/>
  <c r="B272" i="5"/>
  <c r="A272" i="5"/>
  <c r="J271" i="5"/>
  <c r="H271" i="5"/>
  <c r="G271" i="5"/>
  <c r="F271" i="5"/>
  <c r="J270" i="5"/>
  <c r="H270" i="5"/>
  <c r="G270" i="5"/>
  <c r="F270" i="5"/>
  <c r="D268" i="5"/>
  <c r="B268" i="5"/>
  <c r="A268" i="5"/>
  <c r="H265" i="5"/>
  <c r="G265" i="5"/>
  <c r="E265" i="5"/>
  <c r="J264" i="5"/>
  <c r="E264" i="5"/>
  <c r="J263" i="5"/>
  <c r="E263" i="5"/>
  <c r="J262" i="5"/>
  <c r="H262" i="5"/>
  <c r="F262" i="5"/>
  <c r="D262" i="5"/>
  <c r="B262" i="5"/>
  <c r="A262" i="5"/>
  <c r="J261" i="5"/>
  <c r="H261" i="5"/>
  <c r="G261" i="5"/>
  <c r="F261" i="5"/>
  <c r="D259" i="5"/>
  <c r="B259" i="5"/>
  <c r="A259" i="5"/>
  <c r="H256" i="5"/>
  <c r="G256" i="5"/>
  <c r="E256" i="5"/>
  <c r="J255" i="5"/>
  <c r="E255" i="5"/>
  <c r="J254" i="5"/>
  <c r="E254" i="5"/>
  <c r="J253" i="5"/>
  <c r="E253" i="5"/>
  <c r="J252" i="5"/>
  <c r="H252" i="5"/>
  <c r="F252" i="5"/>
  <c r="D252" i="5"/>
  <c r="B252" i="5"/>
  <c r="A252" i="5"/>
  <c r="J251" i="5"/>
  <c r="H251" i="5"/>
  <c r="G251" i="5"/>
  <c r="F251" i="5"/>
  <c r="J250" i="5"/>
  <c r="H250" i="5"/>
  <c r="G250" i="5"/>
  <c r="F250" i="5"/>
  <c r="J249" i="5"/>
  <c r="H249" i="5"/>
  <c r="G249" i="5"/>
  <c r="F249" i="5"/>
  <c r="D247" i="5"/>
  <c r="B247" i="5"/>
  <c r="A247" i="5"/>
  <c r="J244" i="5"/>
  <c r="H244" i="5"/>
  <c r="G244" i="5"/>
  <c r="F244" i="5"/>
  <c r="D243" i="5"/>
  <c r="B243" i="5"/>
  <c r="A243" i="5"/>
  <c r="J240" i="5"/>
  <c r="H240" i="5"/>
  <c r="G240" i="5"/>
  <c r="F240" i="5"/>
  <c r="D238" i="5"/>
  <c r="B238" i="5"/>
  <c r="A238" i="5"/>
  <c r="H235" i="5"/>
  <c r="G235" i="5"/>
  <c r="E235" i="5"/>
  <c r="J234" i="5"/>
  <c r="E234" i="5"/>
  <c r="J233" i="5"/>
  <c r="E233" i="5"/>
  <c r="J232" i="5"/>
  <c r="H232" i="5"/>
  <c r="G232" i="5"/>
  <c r="F232" i="5"/>
  <c r="D230" i="5"/>
  <c r="B230" i="5"/>
  <c r="A230" i="5"/>
  <c r="H227" i="5"/>
  <c r="G227" i="5"/>
  <c r="E227" i="5"/>
  <c r="J226" i="5"/>
  <c r="E226" i="5"/>
  <c r="J225" i="5"/>
  <c r="E225" i="5"/>
  <c r="J224" i="5"/>
  <c r="E224" i="5"/>
  <c r="J223" i="5"/>
  <c r="H223" i="5"/>
  <c r="G223" i="5"/>
  <c r="F223" i="5"/>
  <c r="J222" i="5"/>
  <c r="H222" i="5"/>
  <c r="G222" i="5"/>
  <c r="F222" i="5"/>
  <c r="J221" i="5"/>
  <c r="H221" i="5"/>
  <c r="G221" i="5"/>
  <c r="F221" i="5"/>
  <c r="D219" i="5"/>
  <c r="B219" i="5"/>
  <c r="A219" i="5"/>
  <c r="H216" i="5"/>
  <c r="G216" i="5"/>
  <c r="E216" i="5"/>
  <c r="J215" i="5"/>
  <c r="E215" i="5"/>
  <c r="J214" i="5"/>
  <c r="E214" i="5"/>
  <c r="J213" i="5"/>
  <c r="H213" i="5"/>
  <c r="G213" i="5"/>
  <c r="F213" i="5"/>
  <c r="D211" i="5"/>
  <c r="B211" i="5"/>
  <c r="A211" i="5"/>
  <c r="H208" i="5"/>
  <c r="G208" i="5"/>
  <c r="E208" i="5"/>
  <c r="J207" i="5"/>
  <c r="E207" i="5"/>
  <c r="J206" i="5"/>
  <c r="E206" i="5"/>
  <c r="J205" i="5"/>
  <c r="E205" i="5"/>
  <c r="J204" i="5"/>
  <c r="H204" i="5"/>
  <c r="G204" i="5"/>
  <c r="F204" i="5"/>
  <c r="J203" i="5"/>
  <c r="H203" i="5"/>
  <c r="G203" i="5"/>
  <c r="F203" i="5"/>
  <c r="J202" i="5"/>
  <c r="H202" i="5"/>
  <c r="G202" i="5"/>
  <c r="F202" i="5"/>
  <c r="D200" i="5"/>
  <c r="B200" i="5"/>
  <c r="A200" i="5"/>
  <c r="O198" i="5"/>
  <c r="H198" i="5"/>
  <c r="P198" i="5"/>
  <c r="J198" i="5"/>
  <c r="E197" i="5"/>
  <c r="D197" i="5"/>
  <c r="B197" i="5"/>
  <c r="A197" i="5"/>
  <c r="A196" i="5"/>
  <c r="I194" i="5"/>
  <c r="J194" i="5"/>
  <c r="I193" i="5"/>
  <c r="J193" i="5"/>
  <c r="H188" i="5"/>
  <c r="G188" i="5"/>
  <c r="E188" i="5"/>
  <c r="J187" i="5"/>
  <c r="E187" i="5"/>
  <c r="J186" i="5"/>
  <c r="E186" i="5"/>
  <c r="J185" i="5"/>
  <c r="E185" i="5"/>
  <c r="J184" i="5"/>
  <c r="H184" i="5"/>
  <c r="F184" i="5"/>
  <c r="D184" i="5"/>
  <c r="B184" i="5"/>
  <c r="A184" i="5"/>
  <c r="J183" i="5"/>
  <c r="H183" i="5"/>
  <c r="G183" i="5"/>
  <c r="F183" i="5"/>
  <c r="J182" i="5"/>
  <c r="H182" i="5"/>
  <c r="G182" i="5"/>
  <c r="F182" i="5"/>
  <c r="J181" i="5"/>
  <c r="H181" i="5"/>
  <c r="G181" i="5"/>
  <c r="F181" i="5"/>
  <c r="J180" i="5"/>
  <c r="H180" i="5"/>
  <c r="G180" i="5"/>
  <c r="F180" i="5"/>
  <c r="D178" i="5"/>
  <c r="B178" i="5"/>
  <c r="A178" i="5"/>
  <c r="H175" i="5"/>
  <c r="G175" i="5"/>
  <c r="E175" i="5"/>
  <c r="J174" i="5"/>
  <c r="E174" i="5"/>
  <c r="J173" i="5"/>
  <c r="E173" i="5"/>
  <c r="J172" i="5"/>
  <c r="E172" i="5"/>
  <c r="J171" i="5"/>
  <c r="H171" i="5"/>
  <c r="F171" i="5"/>
  <c r="D171" i="5"/>
  <c r="B171" i="5"/>
  <c r="A171" i="5"/>
  <c r="J170" i="5"/>
  <c r="H170" i="5"/>
  <c r="F170" i="5"/>
  <c r="D170" i="5"/>
  <c r="B170" i="5"/>
  <c r="A170" i="5"/>
  <c r="J169" i="5"/>
  <c r="H169" i="5"/>
  <c r="G169" i="5"/>
  <c r="F169" i="5"/>
  <c r="J168" i="5"/>
  <c r="H168" i="5"/>
  <c r="G168" i="5"/>
  <c r="F168" i="5"/>
  <c r="J167" i="5"/>
  <c r="H167" i="5"/>
  <c r="G167" i="5"/>
  <c r="F167" i="5"/>
  <c r="J166" i="5"/>
  <c r="H166" i="5"/>
  <c r="G166" i="5"/>
  <c r="F166" i="5"/>
  <c r="D164" i="5"/>
  <c r="B164" i="5"/>
  <c r="A164" i="5"/>
  <c r="H161" i="5"/>
  <c r="G161" i="5"/>
  <c r="E161" i="5"/>
  <c r="J160" i="5"/>
  <c r="E160" i="5"/>
  <c r="J159" i="5"/>
  <c r="E159" i="5"/>
  <c r="J158" i="5"/>
  <c r="E158" i="5"/>
  <c r="J157" i="5"/>
  <c r="H157" i="5"/>
  <c r="F157" i="5"/>
  <c r="D157" i="5"/>
  <c r="B157" i="5"/>
  <c r="A157" i="5"/>
  <c r="J156" i="5"/>
  <c r="H156" i="5"/>
  <c r="G156" i="5"/>
  <c r="F156" i="5"/>
  <c r="J155" i="5"/>
  <c r="H155" i="5"/>
  <c r="G155" i="5"/>
  <c r="F155" i="5"/>
  <c r="J154" i="5"/>
  <c r="H154" i="5"/>
  <c r="G154" i="5"/>
  <c r="F154" i="5"/>
  <c r="J153" i="5"/>
  <c r="H153" i="5"/>
  <c r="G153" i="5"/>
  <c r="F153" i="5"/>
  <c r="D152" i="5"/>
  <c r="B152" i="5"/>
  <c r="A152" i="5"/>
  <c r="H149" i="5"/>
  <c r="G149" i="5"/>
  <c r="E149" i="5"/>
  <c r="J148" i="5"/>
  <c r="E148" i="5"/>
  <c r="J147" i="5"/>
  <c r="E147" i="5"/>
  <c r="J146" i="5"/>
  <c r="E146" i="5"/>
  <c r="J145" i="5"/>
  <c r="H145" i="5"/>
  <c r="F145" i="5"/>
  <c r="D145" i="5"/>
  <c r="B145" i="5"/>
  <c r="A145" i="5"/>
  <c r="J144" i="5"/>
  <c r="H144" i="5"/>
  <c r="G144" i="5"/>
  <c r="F144" i="5"/>
  <c r="J143" i="5"/>
  <c r="H143" i="5"/>
  <c r="G143" i="5"/>
  <c r="F143" i="5"/>
  <c r="J142" i="5"/>
  <c r="H142" i="5"/>
  <c r="G142" i="5"/>
  <c r="F142" i="5"/>
  <c r="J141" i="5"/>
  <c r="H141" i="5"/>
  <c r="G141" i="5"/>
  <c r="F141" i="5"/>
  <c r="D139" i="5"/>
  <c r="B139" i="5"/>
  <c r="A139" i="5"/>
  <c r="J136" i="5"/>
  <c r="H136" i="5"/>
  <c r="G136" i="5"/>
  <c r="F136" i="5"/>
  <c r="D135" i="5"/>
  <c r="B135" i="5"/>
  <c r="A135" i="5"/>
  <c r="J132" i="5"/>
  <c r="H132" i="5"/>
  <c r="G132" i="5"/>
  <c r="F132" i="5"/>
  <c r="D130" i="5"/>
  <c r="B130" i="5"/>
  <c r="A130" i="5"/>
  <c r="H127" i="5"/>
  <c r="G127" i="5"/>
  <c r="E127" i="5"/>
  <c r="J126" i="5"/>
  <c r="E126" i="5"/>
  <c r="J125" i="5"/>
  <c r="E125" i="5"/>
  <c r="J124" i="5"/>
  <c r="H124" i="5"/>
  <c r="G124" i="5"/>
  <c r="F124" i="5"/>
  <c r="D122" i="5"/>
  <c r="B122" i="5"/>
  <c r="A122" i="5"/>
  <c r="J119" i="5"/>
  <c r="E119" i="5"/>
  <c r="J118" i="5"/>
  <c r="H118" i="5"/>
  <c r="G118" i="5"/>
  <c r="F118" i="5"/>
  <c r="J117" i="5"/>
  <c r="H117" i="5"/>
  <c r="G117" i="5"/>
  <c r="F117" i="5"/>
  <c r="D115" i="5"/>
  <c r="B115" i="5"/>
  <c r="A115" i="5"/>
  <c r="H112" i="5"/>
  <c r="G112" i="5"/>
  <c r="E112" i="5"/>
  <c r="J111" i="5"/>
  <c r="E111" i="5"/>
  <c r="J110" i="5"/>
  <c r="E110" i="5"/>
  <c r="J109" i="5"/>
  <c r="H109" i="5"/>
  <c r="G109" i="5"/>
  <c r="F109" i="5"/>
  <c r="D107" i="5"/>
  <c r="B107" i="5"/>
  <c r="A107" i="5"/>
  <c r="A106" i="5"/>
  <c r="I104" i="5"/>
  <c r="J104" i="5"/>
  <c r="I103" i="5"/>
  <c r="J103" i="5"/>
  <c r="H98" i="5"/>
  <c r="G98" i="5"/>
  <c r="E98" i="5"/>
  <c r="J97" i="5"/>
  <c r="E97" i="5"/>
  <c r="J96" i="5"/>
  <c r="E96" i="5"/>
  <c r="J95" i="5"/>
  <c r="E95" i="5"/>
  <c r="J94" i="5"/>
  <c r="H94" i="5"/>
  <c r="F94" i="5"/>
  <c r="D94" i="5"/>
  <c r="B94" i="5"/>
  <c r="A94" i="5"/>
  <c r="J93" i="5"/>
  <c r="H93" i="5"/>
  <c r="G93" i="5"/>
  <c r="F93" i="5"/>
  <c r="J92" i="5"/>
  <c r="H92" i="5"/>
  <c r="G92" i="5"/>
  <c r="F92" i="5"/>
  <c r="J91" i="5"/>
  <c r="H91" i="5"/>
  <c r="G91" i="5"/>
  <c r="F91" i="5"/>
  <c r="J90" i="5"/>
  <c r="H90" i="5"/>
  <c r="G90" i="5"/>
  <c r="F90" i="5"/>
  <c r="D88" i="5"/>
  <c r="B88" i="5"/>
  <c r="A88" i="5"/>
  <c r="H85" i="5"/>
  <c r="G85" i="5"/>
  <c r="E85" i="5"/>
  <c r="J84" i="5"/>
  <c r="E84" i="5"/>
  <c r="J83" i="5"/>
  <c r="E83" i="5"/>
  <c r="J82" i="5"/>
  <c r="E82" i="5"/>
  <c r="J81" i="5"/>
  <c r="H81" i="5"/>
  <c r="F81" i="5"/>
  <c r="D81" i="5"/>
  <c r="B81" i="5"/>
  <c r="A81" i="5"/>
  <c r="J80" i="5"/>
  <c r="H80" i="5"/>
  <c r="G80" i="5"/>
  <c r="F80" i="5"/>
  <c r="J79" i="5"/>
  <c r="H79" i="5"/>
  <c r="G79" i="5"/>
  <c r="F79" i="5"/>
  <c r="J78" i="5"/>
  <c r="H78" i="5"/>
  <c r="G78" i="5"/>
  <c r="F78" i="5"/>
  <c r="J77" i="5"/>
  <c r="H77" i="5"/>
  <c r="G77" i="5"/>
  <c r="F77" i="5"/>
  <c r="D75" i="5"/>
  <c r="B75" i="5"/>
  <c r="A75" i="5"/>
  <c r="J72" i="5"/>
  <c r="H72" i="5"/>
  <c r="G72" i="5"/>
  <c r="F72" i="5"/>
  <c r="D71" i="5"/>
  <c r="B71" i="5"/>
  <c r="A71" i="5"/>
  <c r="J68" i="5"/>
  <c r="H68" i="5"/>
  <c r="G68" i="5"/>
  <c r="F68" i="5"/>
  <c r="D66" i="5"/>
  <c r="B66" i="5"/>
  <c r="A66" i="5"/>
  <c r="H63" i="5"/>
  <c r="G63" i="5"/>
  <c r="E63" i="5"/>
  <c r="J62" i="5"/>
  <c r="E62" i="5"/>
  <c r="J61" i="5"/>
  <c r="E61" i="5"/>
  <c r="J60" i="5"/>
  <c r="H60" i="5"/>
  <c r="G60" i="5"/>
  <c r="F60" i="5"/>
  <c r="D58" i="5"/>
  <c r="B58" i="5"/>
  <c r="A58" i="5"/>
  <c r="J55" i="5"/>
  <c r="E55" i="5"/>
  <c r="J54" i="5"/>
  <c r="H54" i="5"/>
  <c r="G54" i="5"/>
  <c r="F54" i="5"/>
  <c r="J53" i="5"/>
  <c r="H53" i="5"/>
  <c r="G53" i="5"/>
  <c r="F53" i="5"/>
  <c r="D51" i="5"/>
  <c r="B51" i="5"/>
  <c r="A51" i="5"/>
  <c r="H48" i="5"/>
  <c r="G48" i="5"/>
  <c r="E48" i="5"/>
  <c r="J47" i="5"/>
  <c r="E47" i="5"/>
  <c r="J46" i="5"/>
  <c r="E46" i="5"/>
  <c r="J45" i="5"/>
  <c r="E45" i="5"/>
  <c r="J44" i="5"/>
  <c r="H44" i="5"/>
  <c r="G44" i="5"/>
  <c r="F44" i="5"/>
  <c r="J43" i="5"/>
  <c r="H43" i="5"/>
  <c r="G43" i="5"/>
  <c r="F43" i="5"/>
  <c r="J42" i="5"/>
  <c r="H42" i="5"/>
  <c r="G42" i="5"/>
  <c r="F42" i="5"/>
  <c r="D40" i="5"/>
  <c r="B40" i="5"/>
  <c r="A40" i="5"/>
  <c r="O38" i="5"/>
  <c r="H38" i="5"/>
  <c r="P38" i="5"/>
  <c r="J38" i="5"/>
  <c r="E37" i="5"/>
  <c r="D37" i="5"/>
  <c r="B37" i="5"/>
  <c r="A37" i="5"/>
  <c r="A36" i="5"/>
  <c r="A18" i="5"/>
  <c r="A15" i="5"/>
  <c r="A13" i="5"/>
  <c r="A10" i="5"/>
  <c r="G6" i="5"/>
  <c r="B6" i="5"/>
  <c r="A1" i="5"/>
  <c r="A1" i="4" l="1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" i="3"/>
  <c r="CY1" i="3"/>
  <c r="CZ1" i="3"/>
  <c r="DA1" i="3"/>
  <c r="DB1" i="3"/>
  <c r="DC1" i="3"/>
  <c r="A2" i="3"/>
  <c r="CY2" i="3"/>
  <c r="CZ2" i="3"/>
  <c r="DB2" i="3" s="1"/>
  <c r="DA2" i="3"/>
  <c r="DC2" i="3"/>
  <c r="A3" i="3"/>
  <c r="CY3" i="3"/>
  <c r="CZ3" i="3"/>
  <c r="DB3" i="3" s="1"/>
  <c r="DA3" i="3"/>
  <c r="DC3" i="3"/>
  <c r="A4" i="3"/>
  <c r="CY4" i="3"/>
  <c r="CZ4" i="3"/>
  <c r="DB4" i="3" s="1"/>
  <c r="DA4" i="3"/>
  <c r="DC4" i="3"/>
  <c r="A5" i="3"/>
  <c r="CY5" i="3"/>
  <c r="CZ5" i="3"/>
  <c r="DA5" i="3"/>
  <c r="DB5" i="3"/>
  <c r="DC5" i="3"/>
  <c r="A6" i="3"/>
  <c r="CY6" i="3"/>
  <c r="CZ6" i="3"/>
  <c r="DA6" i="3"/>
  <c r="DB6" i="3"/>
  <c r="DC6" i="3"/>
  <c r="A7" i="3"/>
  <c r="CY7" i="3"/>
  <c r="CZ7" i="3"/>
  <c r="DB7" i="3" s="1"/>
  <c r="DA7" i="3"/>
  <c r="DC7" i="3"/>
  <c r="A8" i="3"/>
  <c r="CY8" i="3"/>
  <c r="CZ8" i="3"/>
  <c r="DB8" i="3" s="1"/>
  <c r="DA8" i="3"/>
  <c r="DC8" i="3"/>
  <c r="A9" i="3"/>
  <c r="CY9" i="3"/>
  <c r="CZ9" i="3"/>
  <c r="DA9" i="3"/>
  <c r="DB9" i="3"/>
  <c r="DC9" i="3"/>
  <c r="A10" i="3"/>
  <c r="CY10" i="3"/>
  <c r="CZ10" i="3"/>
  <c r="DA10" i="3"/>
  <c r="DB10" i="3"/>
  <c r="DC10" i="3"/>
  <c r="A11" i="3"/>
  <c r="CY11" i="3"/>
  <c r="CZ11" i="3"/>
  <c r="DB11" i="3" s="1"/>
  <c r="DA11" i="3"/>
  <c r="DC11" i="3"/>
  <c r="A12" i="3"/>
  <c r="CY12" i="3"/>
  <c r="CZ12" i="3"/>
  <c r="DB12" i="3" s="1"/>
  <c r="DA12" i="3"/>
  <c r="DC12" i="3"/>
  <c r="A13" i="3"/>
  <c r="CY13" i="3"/>
  <c r="CZ13" i="3"/>
  <c r="DB13" i="3" s="1"/>
  <c r="DA13" i="3"/>
  <c r="DC13" i="3"/>
  <c r="A14" i="3"/>
  <c r="CY14" i="3"/>
  <c r="CZ14" i="3"/>
  <c r="DB14" i="3" s="1"/>
  <c r="DA14" i="3"/>
  <c r="DC14" i="3"/>
  <c r="A15" i="3"/>
  <c r="CY15" i="3"/>
  <c r="CZ15" i="3"/>
  <c r="DB15" i="3" s="1"/>
  <c r="DA15" i="3"/>
  <c r="DC15" i="3"/>
  <c r="A16" i="3"/>
  <c r="CY16" i="3"/>
  <c r="CZ16" i="3"/>
  <c r="DB16" i="3" s="1"/>
  <c r="DA16" i="3"/>
  <c r="DC16" i="3"/>
  <c r="A17" i="3"/>
  <c r="CY17" i="3"/>
  <c r="CZ17" i="3"/>
  <c r="DA17" i="3"/>
  <c r="DB17" i="3"/>
  <c r="DC17" i="3"/>
  <c r="A18" i="3"/>
  <c r="CY18" i="3"/>
  <c r="CZ18" i="3"/>
  <c r="DA18" i="3"/>
  <c r="DB18" i="3"/>
  <c r="DC18" i="3"/>
  <c r="A19" i="3"/>
  <c r="CY19" i="3"/>
  <c r="CZ19" i="3"/>
  <c r="DB19" i="3" s="1"/>
  <c r="DA19" i="3"/>
  <c r="DC19" i="3"/>
  <c r="A20" i="3"/>
  <c r="CY20" i="3"/>
  <c r="CZ20" i="3"/>
  <c r="DB20" i="3" s="1"/>
  <c r="DA20" i="3"/>
  <c r="DC20" i="3"/>
  <c r="A21" i="3"/>
  <c r="CY21" i="3"/>
  <c r="CZ21" i="3"/>
  <c r="DB21" i="3" s="1"/>
  <c r="L8" i="7" s="1"/>
  <c r="DA21" i="3"/>
  <c r="DC21" i="3"/>
  <c r="Q8" i="7" s="1"/>
  <c r="A22" i="3"/>
  <c r="CY22" i="3"/>
  <c r="CZ22" i="3"/>
  <c r="DA22" i="3"/>
  <c r="DB22" i="3"/>
  <c r="DC22" i="3"/>
  <c r="A23" i="3"/>
  <c r="CY23" i="3"/>
  <c r="CZ23" i="3"/>
  <c r="DA23" i="3"/>
  <c r="DB23" i="3"/>
  <c r="DC23" i="3"/>
  <c r="A24" i="3"/>
  <c r="CY24" i="3"/>
  <c r="CZ24" i="3"/>
  <c r="DB24" i="3" s="1"/>
  <c r="DA24" i="3"/>
  <c r="DC24" i="3"/>
  <c r="A25" i="3"/>
  <c r="CY25" i="3"/>
  <c r="CZ25" i="3"/>
  <c r="DB25" i="3" s="1"/>
  <c r="DA25" i="3"/>
  <c r="DC25" i="3"/>
  <c r="A26" i="3"/>
  <c r="CY26" i="3"/>
  <c r="CZ26" i="3"/>
  <c r="DB26" i="3" s="1"/>
  <c r="DA26" i="3"/>
  <c r="DC26" i="3"/>
  <c r="A27" i="3"/>
  <c r="CY27" i="3"/>
  <c r="CZ27" i="3"/>
  <c r="DB27" i="3" s="1"/>
  <c r="DA27" i="3"/>
  <c r="DC27" i="3"/>
  <c r="A28" i="3"/>
  <c r="CY28" i="3"/>
  <c r="CZ28" i="3"/>
  <c r="DB28" i="3" s="1"/>
  <c r="DA28" i="3"/>
  <c r="DC28" i="3"/>
  <c r="A29" i="3"/>
  <c r="CY29" i="3"/>
  <c r="CZ29" i="3"/>
  <c r="DB29" i="3" s="1"/>
  <c r="L10" i="7" s="1"/>
  <c r="DA29" i="3"/>
  <c r="DC29" i="3"/>
  <c r="Q10" i="7" s="1"/>
  <c r="A30" i="3"/>
  <c r="CY30" i="3"/>
  <c r="CZ30" i="3"/>
  <c r="DB30" i="3" s="1"/>
  <c r="DA30" i="3"/>
  <c r="DC30" i="3"/>
  <c r="A31" i="3"/>
  <c r="CY31" i="3"/>
  <c r="CZ31" i="3"/>
  <c r="DB31" i="3" s="1"/>
  <c r="DA31" i="3"/>
  <c r="DC31" i="3"/>
  <c r="A32" i="3"/>
  <c r="CY32" i="3"/>
  <c r="CZ32" i="3"/>
  <c r="DB32" i="3" s="1"/>
  <c r="DA32" i="3"/>
  <c r="DC32" i="3"/>
  <c r="A33" i="3"/>
  <c r="CY33" i="3"/>
  <c r="CZ33" i="3"/>
  <c r="DB33" i="3" s="1"/>
  <c r="DA33" i="3"/>
  <c r="DC33" i="3"/>
  <c r="A34" i="3"/>
  <c r="CY34" i="3"/>
  <c r="CZ34" i="3"/>
  <c r="DA34" i="3"/>
  <c r="DB34" i="3"/>
  <c r="DC34" i="3"/>
  <c r="A35" i="3"/>
  <c r="CY35" i="3"/>
  <c r="CZ35" i="3"/>
  <c r="DA35" i="3"/>
  <c r="DB35" i="3"/>
  <c r="DC35" i="3"/>
  <c r="A36" i="3"/>
  <c r="CY36" i="3"/>
  <c r="CZ36" i="3"/>
  <c r="DB36" i="3" s="1"/>
  <c r="DA36" i="3"/>
  <c r="DC36" i="3"/>
  <c r="A37" i="3"/>
  <c r="CY37" i="3"/>
  <c r="CZ37" i="3"/>
  <c r="DB37" i="3" s="1"/>
  <c r="DA37" i="3"/>
  <c r="DC37" i="3"/>
  <c r="A38" i="3"/>
  <c r="CY38" i="3"/>
  <c r="CZ38" i="3"/>
  <c r="DB38" i="3" s="1"/>
  <c r="DA38" i="3"/>
  <c r="DC38" i="3"/>
  <c r="A39" i="3"/>
  <c r="CY39" i="3"/>
  <c r="CZ39" i="3"/>
  <c r="DB39" i="3" s="1"/>
  <c r="DA39" i="3"/>
  <c r="DC39" i="3"/>
  <c r="A40" i="3"/>
  <c r="CY40" i="3"/>
  <c r="CZ40" i="3"/>
  <c r="DB40" i="3" s="1"/>
  <c r="DA40" i="3"/>
  <c r="DC40" i="3"/>
  <c r="A41" i="3"/>
  <c r="CY41" i="3"/>
  <c r="CZ41" i="3"/>
  <c r="DB41" i="3" s="1"/>
  <c r="DA41" i="3"/>
  <c r="DC41" i="3"/>
  <c r="A42" i="3"/>
  <c r="CY42" i="3"/>
  <c r="CZ42" i="3"/>
  <c r="DA42" i="3"/>
  <c r="DB42" i="3"/>
  <c r="DC42" i="3"/>
  <c r="A43" i="3"/>
  <c r="CY43" i="3"/>
  <c r="CZ43" i="3"/>
  <c r="DA43" i="3"/>
  <c r="DB43" i="3"/>
  <c r="DC43" i="3"/>
  <c r="A44" i="3"/>
  <c r="CY44" i="3"/>
  <c r="CZ44" i="3"/>
  <c r="DB44" i="3" s="1"/>
  <c r="DA44" i="3"/>
  <c r="DC44" i="3"/>
  <c r="A45" i="3"/>
  <c r="CY45" i="3"/>
  <c r="CZ45" i="3"/>
  <c r="DB45" i="3" s="1"/>
  <c r="DA45" i="3"/>
  <c r="DC45" i="3"/>
  <c r="A46" i="3"/>
  <c r="CY46" i="3"/>
  <c r="CZ46" i="3"/>
  <c r="DA46" i="3"/>
  <c r="DB46" i="3"/>
  <c r="DC46" i="3"/>
  <c r="A47" i="3"/>
  <c r="CY47" i="3"/>
  <c r="CZ47" i="3"/>
  <c r="DA47" i="3"/>
  <c r="DB47" i="3"/>
  <c r="DC47" i="3"/>
  <c r="A48" i="3"/>
  <c r="CY48" i="3"/>
  <c r="CZ48" i="3"/>
  <c r="DB48" i="3" s="1"/>
  <c r="DA48" i="3"/>
  <c r="DC48" i="3"/>
  <c r="A49" i="3"/>
  <c r="CY49" i="3"/>
  <c r="CZ49" i="3"/>
  <c r="DB49" i="3" s="1"/>
  <c r="DA49" i="3"/>
  <c r="DC49" i="3"/>
  <c r="A50" i="3"/>
  <c r="CY50" i="3"/>
  <c r="CZ50" i="3"/>
  <c r="DB50" i="3" s="1"/>
  <c r="DA50" i="3"/>
  <c r="DC50" i="3"/>
  <c r="A51" i="3"/>
  <c r="CY51" i="3"/>
  <c r="CZ51" i="3"/>
  <c r="DB51" i="3" s="1"/>
  <c r="L13" i="7" s="1"/>
  <c r="DA51" i="3"/>
  <c r="DC51" i="3"/>
  <c r="Q13" i="7" s="1"/>
  <c r="A52" i="3"/>
  <c r="CY52" i="3"/>
  <c r="CZ52" i="3"/>
  <c r="DB52" i="3" s="1"/>
  <c r="DA52" i="3"/>
  <c r="DC52" i="3"/>
  <c r="A53" i="3"/>
  <c r="CY53" i="3"/>
  <c r="CZ53" i="3"/>
  <c r="DB53" i="3" s="1"/>
  <c r="DA53" i="3"/>
  <c r="DC53" i="3"/>
  <c r="A54" i="3"/>
  <c r="CY54" i="3"/>
  <c r="CZ54" i="3"/>
  <c r="DA54" i="3"/>
  <c r="DB54" i="3"/>
  <c r="DC54" i="3"/>
  <c r="A55" i="3"/>
  <c r="CY55" i="3"/>
  <c r="CZ55" i="3"/>
  <c r="DA55" i="3"/>
  <c r="DB55" i="3"/>
  <c r="DC55" i="3"/>
  <c r="A56" i="3"/>
  <c r="CY56" i="3"/>
  <c r="CZ56" i="3"/>
  <c r="DB56" i="3" s="1"/>
  <c r="DA56" i="3"/>
  <c r="DC56" i="3"/>
  <c r="A57" i="3"/>
  <c r="CY57" i="3"/>
  <c r="CZ57" i="3"/>
  <c r="DB57" i="3" s="1"/>
  <c r="DA57" i="3"/>
  <c r="DC57" i="3"/>
  <c r="A58" i="3"/>
  <c r="CY58" i="3"/>
  <c r="CZ58" i="3"/>
  <c r="DA58" i="3"/>
  <c r="DB58" i="3"/>
  <c r="DC58" i="3"/>
  <c r="A59" i="3"/>
  <c r="CY59" i="3"/>
  <c r="CZ59" i="3"/>
  <c r="DA59" i="3"/>
  <c r="DB59" i="3"/>
  <c r="DC59" i="3"/>
  <c r="A60" i="3"/>
  <c r="CY60" i="3"/>
  <c r="CZ60" i="3"/>
  <c r="DB60" i="3" s="1"/>
  <c r="DA60" i="3"/>
  <c r="DC60" i="3"/>
  <c r="A61" i="3"/>
  <c r="CY61" i="3"/>
  <c r="CZ61" i="3"/>
  <c r="DB61" i="3" s="1"/>
  <c r="DA61" i="3"/>
  <c r="DC61" i="3"/>
  <c r="A62" i="3"/>
  <c r="CY62" i="3"/>
  <c r="CZ62" i="3"/>
  <c r="DB62" i="3" s="1"/>
  <c r="DA62" i="3"/>
  <c r="DC62" i="3"/>
  <c r="A63" i="3"/>
  <c r="CY63" i="3"/>
  <c r="CZ63" i="3"/>
  <c r="DB63" i="3" s="1"/>
  <c r="DA63" i="3"/>
  <c r="DC63" i="3"/>
  <c r="A64" i="3"/>
  <c r="CY64" i="3"/>
  <c r="CZ64" i="3"/>
  <c r="DB64" i="3" s="1"/>
  <c r="L17" i="7" s="1"/>
  <c r="DA64" i="3"/>
  <c r="DC64" i="3"/>
  <c r="Q17" i="7" s="1"/>
  <c r="A65" i="3"/>
  <c r="CY65" i="3"/>
  <c r="CZ65" i="3"/>
  <c r="DB65" i="3" s="1"/>
  <c r="L16" i="7" s="1"/>
  <c r="DA65" i="3"/>
  <c r="DC65" i="3"/>
  <c r="Q16" i="7" s="1"/>
  <c r="A66" i="3"/>
  <c r="CY66" i="3"/>
  <c r="CZ66" i="3"/>
  <c r="DB66" i="3" s="1"/>
  <c r="L15" i="7" s="1"/>
  <c r="DA66" i="3"/>
  <c r="DC66" i="3"/>
  <c r="Q15" i="7" s="1"/>
  <c r="A67" i="3"/>
  <c r="CY67" i="3"/>
  <c r="CZ67" i="3"/>
  <c r="DB67" i="3" s="1"/>
  <c r="DA67" i="3"/>
  <c r="DC67" i="3"/>
  <c r="A68" i="3"/>
  <c r="CY68" i="3"/>
  <c r="CZ68" i="3"/>
  <c r="DB68" i="3" s="1"/>
  <c r="DA68" i="3"/>
  <c r="DC68" i="3"/>
  <c r="A69" i="3"/>
  <c r="CY69" i="3"/>
  <c r="CZ69" i="3"/>
  <c r="DB69" i="3" s="1"/>
  <c r="DA69" i="3"/>
  <c r="DC69" i="3"/>
  <c r="A70" i="3"/>
  <c r="CY70" i="3"/>
  <c r="CZ70" i="3"/>
  <c r="DA70" i="3"/>
  <c r="DB70" i="3"/>
  <c r="DC70" i="3"/>
  <c r="A71" i="3"/>
  <c r="CY71" i="3"/>
  <c r="CZ71" i="3"/>
  <c r="DA71" i="3"/>
  <c r="DB71" i="3"/>
  <c r="DC71" i="3"/>
  <c r="A72" i="3"/>
  <c r="CY72" i="3"/>
  <c r="CZ72" i="3"/>
  <c r="DB72" i="3" s="1"/>
  <c r="DA72" i="3"/>
  <c r="DC72" i="3"/>
  <c r="A73" i="3"/>
  <c r="CY73" i="3"/>
  <c r="CZ73" i="3"/>
  <c r="DB73" i="3" s="1"/>
  <c r="DA73" i="3"/>
  <c r="DC73" i="3"/>
  <c r="A74" i="3"/>
  <c r="CY74" i="3"/>
  <c r="CZ74" i="3"/>
  <c r="DB74" i="3" s="1"/>
  <c r="DA74" i="3"/>
  <c r="DC74" i="3"/>
  <c r="A75" i="3"/>
  <c r="CY75" i="3"/>
  <c r="CZ75" i="3"/>
  <c r="DB75" i="3" s="1"/>
  <c r="DA75" i="3"/>
  <c r="DC75" i="3"/>
  <c r="A76" i="3"/>
  <c r="CY76" i="3"/>
  <c r="CZ76" i="3"/>
  <c r="DB76" i="3" s="1"/>
  <c r="DA76" i="3"/>
  <c r="DC76" i="3"/>
  <c r="A77" i="3"/>
  <c r="CY77" i="3"/>
  <c r="CZ77" i="3"/>
  <c r="DB77" i="3" s="1"/>
  <c r="DA77" i="3"/>
  <c r="DC77" i="3"/>
  <c r="A78" i="3"/>
  <c r="CY78" i="3"/>
  <c r="CZ78" i="3"/>
  <c r="DA78" i="3"/>
  <c r="DB78" i="3"/>
  <c r="L19" i="7" s="1"/>
  <c r="DC78" i="3"/>
  <c r="Q19" i="7" s="1"/>
  <c r="A79" i="3"/>
  <c r="CY79" i="3"/>
  <c r="CZ79" i="3"/>
  <c r="DA79" i="3"/>
  <c r="DB79" i="3"/>
  <c r="DC79" i="3"/>
  <c r="A80" i="3"/>
  <c r="CY80" i="3"/>
  <c r="CZ80" i="3"/>
  <c r="DB80" i="3" s="1"/>
  <c r="DA80" i="3"/>
  <c r="DC80" i="3"/>
  <c r="A81" i="3"/>
  <c r="CY81" i="3"/>
  <c r="CZ81" i="3"/>
  <c r="DB81" i="3" s="1"/>
  <c r="DA81" i="3"/>
  <c r="DC81" i="3"/>
  <c r="A82" i="3"/>
  <c r="CY82" i="3"/>
  <c r="CZ82" i="3"/>
  <c r="DA82" i="3"/>
  <c r="DB82" i="3"/>
  <c r="DC82" i="3"/>
  <c r="A83" i="3"/>
  <c r="CY83" i="3"/>
  <c r="CZ83" i="3"/>
  <c r="DA83" i="3"/>
  <c r="DB83" i="3"/>
  <c r="DC83" i="3"/>
  <c r="A84" i="3"/>
  <c r="CY84" i="3"/>
  <c r="CZ84" i="3"/>
  <c r="DB84" i="3" s="1"/>
  <c r="DA84" i="3"/>
  <c r="DC84" i="3"/>
  <c r="A85" i="3"/>
  <c r="CY85" i="3"/>
  <c r="CZ85" i="3"/>
  <c r="DB85" i="3" s="1"/>
  <c r="DA85" i="3"/>
  <c r="DC85" i="3"/>
  <c r="A86" i="3"/>
  <c r="CY86" i="3"/>
  <c r="CZ86" i="3"/>
  <c r="DB86" i="3" s="1"/>
  <c r="DA86" i="3"/>
  <c r="DC86" i="3"/>
  <c r="A87" i="3"/>
  <c r="CY87" i="3"/>
  <c r="CZ87" i="3"/>
  <c r="DB87" i="3" s="1"/>
  <c r="L23" i="7" s="1"/>
  <c r="DA87" i="3"/>
  <c r="DC87" i="3"/>
  <c r="Q23" i="7" s="1"/>
  <c r="A88" i="3"/>
  <c r="CY88" i="3"/>
  <c r="CZ88" i="3"/>
  <c r="DB88" i="3" s="1"/>
  <c r="DA88" i="3"/>
  <c r="DC88" i="3"/>
  <c r="A89" i="3"/>
  <c r="CY89" i="3"/>
  <c r="CZ89" i="3"/>
  <c r="DB89" i="3" s="1"/>
  <c r="L22" i="7" s="1"/>
  <c r="DA89" i="3"/>
  <c r="DC89" i="3"/>
  <c r="Q22" i="7" s="1"/>
  <c r="A90" i="3"/>
  <c r="CY90" i="3"/>
  <c r="CZ90" i="3"/>
  <c r="DA90" i="3"/>
  <c r="DB90" i="3"/>
  <c r="DC90" i="3"/>
  <c r="A91" i="3"/>
  <c r="CY91" i="3"/>
  <c r="CZ91" i="3"/>
  <c r="DA91" i="3"/>
  <c r="DB91" i="3"/>
  <c r="DC91" i="3"/>
  <c r="A92" i="3"/>
  <c r="CY92" i="3"/>
  <c r="CZ92" i="3"/>
  <c r="DB92" i="3" s="1"/>
  <c r="DA92" i="3"/>
  <c r="DC92" i="3"/>
  <c r="A93" i="3"/>
  <c r="CY93" i="3"/>
  <c r="CZ93" i="3"/>
  <c r="DB93" i="3" s="1"/>
  <c r="DA93" i="3"/>
  <c r="DC93" i="3"/>
  <c r="A94" i="3"/>
  <c r="CY94" i="3"/>
  <c r="CZ94" i="3"/>
  <c r="DA94" i="3"/>
  <c r="DB94" i="3"/>
  <c r="DC94" i="3"/>
  <c r="A95" i="3"/>
  <c r="CY95" i="3"/>
  <c r="CZ95" i="3"/>
  <c r="DA95" i="3"/>
  <c r="DB95" i="3"/>
  <c r="DC95" i="3"/>
  <c r="A96" i="3"/>
  <c r="CY96" i="3"/>
  <c r="CZ96" i="3"/>
  <c r="DB96" i="3" s="1"/>
  <c r="DA96" i="3"/>
  <c r="DC96" i="3"/>
  <c r="A97" i="3"/>
  <c r="CY97" i="3"/>
  <c r="CZ97" i="3"/>
  <c r="DB97" i="3" s="1"/>
  <c r="DA97" i="3"/>
  <c r="DC97" i="3"/>
  <c r="A98" i="3"/>
  <c r="CY98" i="3"/>
  <c r="CZ98" i="3"/>
  <c r="DB98" i="3" s="1"/>
  <c r="DA98" i="3"/>
  <c r="DC98" i="3"/>
  <c r="A99" i="3"/>
  <c r="CY99" i="3"/>
  <c r="CZ99" i="3"/>
  <c r="DB99" i="3" s="1"/>
  <c r="DA99" i="3"/>
  <c r="DC99" i="3"/>
  <c r="A100" i="3"/>
  <c r="CY100" i="3"/>
  <c r="CZ100" i="3"/>
  <c r="DB100" i="3" s="1"/>
  <c r="DA100" i="3"/>
  <c r="DC100" i="3"/>
  <c r="A101" i="3"/>
  <c r="CY101" i="3"/>
  <c r="CZ101" i="3"/>
  <c r="DB101" i="3" s="1"/>
  <c r="DA101" i="3"/>
  <c r="DC101" i="3"/>
  <c r="A102" i="3"/>
  <c r="CY102" i="3"/>
  <c r="CZ102" i="3"/>
  <c r="DB102" i="3" s="1"/>
  <c r="DA102" i="3"/>
  <c r="DC102" i="3"/>
  <c r="A103" i="3"/>
  <c r="CY103" i="3"/>
  <c r="CZ103" i="3"/>
  <c r="DB103" i="3" s="1"/>
  <c r="DA103" i="3"/>
  <c r="DC103" i="3"/>
  <c r="A104" i="3"/>
  <c r="CY104" i="3"/>
  <c r="CZ104" i="3"/>
  <c r="DB104" i="3" s="1"/>
  <c r="DA104" i="3"/>
  <c r="DC104" i="3"/>
  <c r="A105" i="3"/>
  <c r="CY105" i="3"/>
  <c r="CZ105" i="3"/>
  <c r="DB105" i="3" s="1"/>
  <c r="DA105" i="3"/>
  <c r="DC105" i="3"/>
  <c r="A106" i="3"/>
  <c r="CY106" i="3"/>
  <c r="CZ106" i="3"/>
  <c r="DA106" i="3"/>
  <c r="DB106" i="3"/>
  <c r="DC106" i="3"/>
  <c r="A107" i="3"/>
  <c r="CY107" i="3"/>
  <c r="CZ107" i="3"/>
  <c r="DA107" i="3"/>
  <c r="DB107" i="3"/>
  <c r="DC107" i="3"/>
  <c r="A108" i="3"/>
  <c r="CY108" i="3"/>
  <c r="CZ108" i="3"/>
  <c r="DB108" i="3" s="1"/>
  <c r="DA108" i="3"/>
  <c r="DC108" i="3"/>
  <c r="A109" i="3"/>
  <c r="CY109" i="3"/>
  <c r="CZ109" i="3"/>
  <c r="DB109" i="3" s="1"/>
  <c r="DA109" i="3"/>
  <c r="DC109" i="3"/>
  <c r="A110" i="3"/>
  <c r="CY110" i="3"/>
  <c r="CZ110" i="3"/>
  <c r="DB110" i="3" s="1"/>
  <c r="DA110" i="3"/>
  <c r="DC110" i="3"/>
  <c r="A111" i="3"/>
  <c r="CY111" i="3"/>
  <c r="CZ111" i="3"/>
  <c r="DB111" i="3" s="1"/>
  <c r="DA111" i="3"/>
  <c r="DC111" i="3"/>
  <c r="A112" i="3"/>
  <c r="CY112" i="3"/>
  <c r="CZ112" i="3"/>
  <c r="DB112" i="3" s="1"/>
  <c r="DA112" i="3"/>
  <c r="DC112" i="3"/>
  <c r="A113" i="3"/>
  <c r="CY113" i="3"/>
  <c r="CZ113" i="3"/>
  <c r="DB113" i="3" s="1"/>
  <c r="DA113" i="3"/>
  <c r="DC113" i="3"/>
  <c r="A114" i="3"/>
  <c r="CY114" i="3"/>
  <c r="CZ114" i="3"/>
  <c r="DA114" i="3"/>
  <c r="DB114" i="3"/>
  <c r="DC114" i="3"/>
  <c r="A115" i="3"/>
  <c r="CY115" i="3"/>
  <c r="CZ115" i="3"/>
  <c r="DA115" i="3"/>
  <c r="DB115" i="3"/>
  <c r="DC115" i="3"/>
  <c r="A116" i="3"/>
  <c r="CY116" i="3"/>
  <c r="CZ116" i="3"/>
  <c r="DB116" i="3" s="1"/>
  <c r="DA116" i="3"/>
  <c r="DC116" i="3"/>
  <c r="A117" i="3"/>
  <c r="CY117" i="3"/>
  <c r="CZ117" i="3"/>
  <c r="DB117" i="3" s="1"/>
  <c r="DA117" i="3"/>
  <c r="DC117" i="3"/>
  <c r="A118" i="3"/>
  <c r="CY118" i="3"/>
  <c r="CZ118" i="3"/>
  <c r="DA118" i="3"/>
  <c r="DB118" i="3"/>
  <c r="DC118" i="3"/>
  <c r="A119" i="3"/>
  <c r="CY119" i="3"/>
  <c r="CZ119" i="3"/>
  <c r="DA119" i="3"/>
  <c r="DB119" i="3"/>
  <c r="DC119" i="3"/>
  <c r="A120" i="3"/>
  <c r="CY120" i="3"/>
  <c r="CZ120" i="3"/>
  <c r="DB120" i="3" s="1"/>
  <c r="DA120" i="3"/>
  <c r="DC120" i="3"/>
  <c r="A121" i="3"/>
  <c r="CY121" i="3"/>
  <c r="CZ121" i="3"/>
  <c r="DB121" i="3" s="1"/>
  <c r="DA121" i="3"/>
  <c r="DC121" i="3"/>
  <c r="A122" i="3"/>
  <c r="CY122" i="3"/>
  <c r="CZ122" i="3"/>
  <c r="DB122" i="3" s="1"/>
  <c r="DA122" i="3"/>
  <c r="DC122" i="3"/>
  <c r="A123" i="3"/>
  <c r="CY123" i="3"/>
  <c r="CZ123" i="3"/>
  <c r="DB123" i="3" s="1"/>
  <c r="DA123" i="3"/>
  <c r="DC123" i="3"/>
  <c r="A124" i="3"/>
  <c r="CY124" i="3"/>
  <c r="CZ124" i="3"/>
  <c r="DB124" i="3" s="1"/>
  <c r="DA124" i="3"/>
  <c r="DC124" i="3"/>
  <c r="A125" i="3"/>
  <c r="CY125" i="3"/>
  <c r="CZ125" i="3"/>
  <c r="DB125" i="3" s="1"/>
  <c r="DA125" i="3"/>
  <c r="DC125" i="3"/>
  <c r="A126" i="3"/>
  <c r="CY126" i="3"/>
  <c r="CZ126" i="3"/>
  <c r="DA126" i="3"/>
  <c r="DB126" i="3"/>
  <c r="DC126" i="3"/>
  <c r="A127" i="3"/>
  <c r="CY127" i="3"/>
  <c r="CZ127" i="3"/>
  <c r="DA127" i="3"/>
  <c r="DB127" i="3"/>
  <c r="DC127" i="3"/>
  <c r="A128" i="3"/>
  <c r="CY128" i="3"/>
  <c r="CZ128" i="3"/>
  <c r="DB128" i="3" s="1"/>
  <c r="L28" i="7" s="1"/>
  <c r="DA128" i="3"/>
  <c r="DC128" i="3"/>
  <c r="Q28" i="7" s="1"/>
  <c r="A129" i="3"/>
  <c r="CY129" i="3"/>
  <c r="CZ129" i="3"/>
  <c r="DB129" i="3" s="1"/>
  <c r="DA129" i="3"/>
  <c r="DC129" i="3"/>
  <c r="A130" i="3"/>
  <c r="CY130" i="3"/>
  <c r="CZ130" i="3"/>
  <c r="DA130" i="3"/>
  <c r="DB130" i="3"/>
  <c r="DC130" i="3"/>
  <c r="A131" i="3"/>
  <c r="CY131" i="3"/>
  <c r="CZ131" i="3"/>
  <c r="DA131" i="3"/>
  <c r="DB131" i="3"/>
  <c r="DC131" i="3"/>
  <c r="A132" i="3"/>
  <c r="CY132" i="3"/>
  <c r="CZ132" i="3"/>
  <c r="DB132" i="3" s="1"/>
  <c r="DA132" i="3"/>
  <c r="DC132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R22" i="1"/>
  <c r="DS22" i="1"/>
  <c r="DT22" i="1"/>
  <c r="DU22" i="1"/>
  <c r="DV22" i="1"/>
  <c r="DW22" i="1"/>
  <c r="DX22" i="1"/>
  <c r="DY22" i="1"/>
  <c r="DZ22" i="1"/>
  <c r="EA22" i="1"/>
  <c r="EB22" i="1"/>
  <c r="EC22" i="1"/>
  <c r="ED22" i="1"/>
  <c r="EE22" i="1"/>
  <c r="EF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FP22" i="1"/>
  <c r="FQ22" i="1"/>
  <c r="FR22" i="1"/>
  <c r="FS22" i="1"/>
  <c r="FT22" i="1"/>
  <c r="FU22" i="1"/>
  <c r="FV22" i="1"/>
  <c r="FW22" i="1"/>
  <c r="FX22" i="1"/>
  <c r="FY22" i="1"/>
  <c r="FZ22" i="1"/>
  <c r="GA22" i="1"/>
  <c r="GB22" i="1"/>
  <c r="GC22" i="1"/>
  <c r="GD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D24" i="1"/>
  <c r="E26" i="1"/>
  <c r="Z26" i="1"/>
  <c r="AA26" i="1"/>
  <c r="AM26" i="1"/>
  <c r="AN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DB26" i="1"/>
  <c r="DC26" i="1"/>
  <c r="DD26" i="1"/>
  <c r="DE26" i="1"/>
  <c r="DF26" i="1"/>
  <c r="DR26" i="1"/>
  <c r="DS26" i="1"/>
  <c r="EE26" i="1"/>
  <c r="EF26" i="1"/>
  <c r="EW26" i="1"/>
  <c r="EX26" i="1"/>
  <c r="EY26" i="1"/>
  <c r="EZ26" i="1"/>
  <c r="FA26" i="1"/>
  <c r="FB26" i="1"/>
  <c r="FC26" i="1"/>
  <c r="FD26" i="1"/>
  <c r="FE26" i="1"/>
  <c r="FF26" i="1"/>
  <c r="FG26" i="1"/>
  <c r="FH26" i="1"/>
  <c r="FI26" i="1"/>
  <c r="FJ26" i="1"/>
  <c r="FK26" i="1"/>
  <c r="FL26" i="1"/>
  <c r="FM26" i="1"/>
  <c r="FN26" i="1"/>
  <c r="FO26" i="1"/>
  <c r="GF26" i="1"/>
  <c r="GG26" i="1"/>
  <c r="GH26" i="1"/>
  <c r="GI26" i="1"/>
  <c r="GJ26" i="1"/>
  <c r="GK26" i="1"/>
  <c r="GL26" i="1"/>
  <c r="GM26" i="1"/>
  <c r="GN26" i="1"/>
  <c r="GO26" i="1"/>
  <c r="GP26" i="1"/>
  <c r="GQ26" i="1"/>
  <c r="GR26" i="1"/>
  <c r="GS26" i="1"/>
  <c r="GT26" i="1"/>
  <c r="GU26" i="1"/>
  <c r="GV26" i="1"/>
  <c r="GW26" i="1"/>
  <c r="GX26" i="1"/>
  <c r="AC28" i="1"/>
  <c r="AE28" i="1"/>
  <c r="R28" i="1" s="1"/>
  <c r="U37" i="5" s="1"/>
  <c r="AF28" i="1"/>
  <c r="S28" i="1" s="1"/>
  <c r="AG28" i="1"/>
  <c r="CU28" i="1" s="1"/>
  <c r="T28" i="1" s="1"/>
  <c r="AH28" i="1"/>
  <c r="AI28" i="1"/>
  <c r="CW28" i="1" s="1"/>
  <c r="V28" i="1" s="1"/>
  <c r="AJ28" i="1"/>
  <c r="CR28" i="1"/>
  <c r="CT28" i="1"/>
  <c r="CV28" i="1"/>
  <c r="U28" i="1" s="1"/>
  <c r="CX28" i="1"/>
  <c r="W28" i="1" s="1"/>
  <c r="FR28" i="1"/>
  <c r="GL28" i="1"/>
  <c r="GN28" i="1"/>
  <c r="GO28" i="1"/>
  <c r="GV28" i="1"/>
  <c r="HC28" i="1"/>
  <c r="GX28" i="1" s="1"/>
  <c r="S29" i="1"/>
  <c r="CY29" i="1" s="1"/>
  <c r="X29" i="1" s="1"/>
  <c r="R37" i="5" s="1"/>
  <c r="AC29" i="1"/>
  <c r="AE29" i="1"/>
  <c r="R29" i="1" s="1"/>
  <c r="V37" i="5" s="1"/>
  <c r="AF29" i="1"/>
  <c r="AG29" i="1"/>
  <c r="CU29" i="1" s="1"/>
  <c r="T29" i="1" s="1"/>
  <c r="AH29" i="1"/>
  <c r="CV29" i="1" s="1"/>
  <c r="U29" i="1" s="1"/>
  <c r="AI29" i="1"/>
  <c r="CW29" i="1" s="1"/>
  <c r="V29" i="1" s="1"/>
  <c r="AJ29" i="1"/>
  <c r="CR29" i="1"/>
  <c r="CT29" i="1"/>
  <c r="CX29" i="1"/>
  <c r="W29" i="1" s="1"/>
  <c r="CZ29" i="1"/>
  <c r="Y29" i="1" s="1"/>
  <c r="T37" i="5" s="1"/>
  <c r="FR29" i="1"/>
  <c r="GL29" i="1"/>
  <c r="GN29" i="1"/>
  <c r="GO29" i="1"/>
  <c r="GV29" i="1"/>
  <c r="HC29" i="1"/>
  <c r="GX29" i="1" s="1"/>
  <c r="C30" i="1"/>
  <c r="D30" i="1"/>
  <c r="I30" i="1"/>
  <c r="R30" i="1"/>
  <c r="AC30" i="1"/>
  <c r="CQ30" i="1" s="1"/>
  <c r="AD30" i="1"/>
  <c r="AE30" i="1"/>
  <c r="CR30" i="1" s="1"/>
  <c r="AF30" i="1"/>
  <c r="AG30" i="1"/>
  <c r="CU30" i="1" s="1"/>
  <c r="T30" i="1" s="1"/>
  <c r="AH30" i="1"/>
  <c r="CV30" i="1" s="1"/>
  <c r="U30" i="1" s="1"/>
  <c r="I48" i="5" s="1"/>
  <c r="AI30" i="1"/>
  <c r="CW30" i="1" s="1"/>
  <c r="V30" i="1" s="1"/>
  <c r="AJ30" i="1"/>
  <c r="CX30" i="1" s="1"/>
  <c r="W30" i="1" s="1"/>
  <c r="CS30" i="1"/>
  <c r="FR30" i="1"/>
  <c r="GL30" i="1"/>
  <c r="GO30" i="1"/>
  <c r="GP30" i="1"/>
  <c r="GV30" i="1"/>
  <c r="HC30" i="1"/>
  <c r="C31" i="1"/>
  <c r="D31" i="1"/>
  <c r="I31" i="1"/>
  <c r="P31" i="1"/>
  <c r="R31" i="1"/>
  <c r="AC31" i="1"/>
  <c r="CQ31" i="1" s="1"/>
  <c r="AD31" i="1"/>
  <c r="AE31" i="1"/>
  <c r="AF31" i="1"/>
  <c r="AG31" i="1"/>
  <c r="AH31" i="1"/>
  <c r="CV31" i="1" s="1"/>
  <c r="U31" i="1" s="1"/>
  <c r="AI31" i="1"/>
  <c r="CW31" i="1" s="1"/>
  <c r="V31" i="1" s="1"/>
  <c r="AJ31" i="1"/>
  <c r="CX31" i="1" s="1"/>
  <c r="W31" i="1" s="1"/>
  <c r="CR31" i="1"/>
  <c r="CS31" i="1"/>
  <c r="CU31" i="1"/>
  <c r="T31" i="1" s="1"/>
  <c r="FR31" i="1"/>
  <c r="GL31" i="1"/>
  <c r="GO31" i="1"/>
  <c r="GP31" i="1"/>
  <c r="GV31" i="1"/>
  <c r="HC31" i="1" s="1"/>
  <c r="GX31" i="1" s="1"/>
  <c r="C32" i="1"/>
  <c r="D32" i="1"/>
  <c r="I32" i="1"/>
  <c r="AC32" i="1"/>
  <c r="CQ32" i="1" s="1"/>
  <c r="AD32" i="1"/>
  <c r="AE32" i="1"/>
  <c r="AF32" i="1"/>
  <c r="AG32" i="1"/>
  <c r="AH32" i="1"/>
  <c r="CV32" i="1" s="1"/>
  <c r="U32" i="1" s="1"/>
  <c r="AI32" i="1"/>
  <c r="AJ32" i="1"/>
  <c r="CX32" i="1" s="1"/>
  <c r="CR32" i="1"/>
  <c r="CS32" i="1"/>
  <c r="CU32" i="1"/>
  <c r="T32" i="1" s="1"/>
  <c r="CW32" i="1"/>
  <c r="V32" i="1" s="1"/>
  <c r="FR32" i="1"/>
  <c r="GL32" i="1"/>
  <c r="GO32" i="1"/>
  <c r="GP32" i="1"/>
  <c r="GV32" i="1"/>
  <c r="HC32" i="1"/>
  <c r="C33" i="1"/>
  <c r="D33" i="1"/>
  <c r="I33" i="1"/>
  <c r="R33" i="1" s="1"/>
  <c r="AC33" i="1"/>
  <c r="AE33" i="1"/>
  <c r="AD33" i="1" s="1"/>
  <c r="AB33" i="1" s="1"/>
  <c r="AF33" i="1"/>
  <c r="AG33" i="1"/>
  <c r="AH33" i="1"/>
  <c r="CV33" i="1" s="1"/>
  <c r="U33" i="1" s="1"/>
  <c r="AI33" i="1"/>
  <c r="AJ33" i="1"/>
  <c r="CX33" i="1" s="1"/>
  <c r="CR33" i="1"/>
  <c r="CS33" i="1"/>
  <c r="CU33" i="1"/>
  <c r="CW33" i="1"/>
  <c r="V33" i="1" s="1"/>
  <c r="FR33" i="1"/>
  <c r="GL33" i="1"/>
  <c r="GO33" i="1"/>
  <c r="GP33" i="1"/>
  <c r="GV33" i="1"/>
  <c r="HC33" i="1" s="1"/>
  <c r="GX33" i="1"/>
  <c r="C34" i="1"/>
  <c r="D34" i="1"/>
  <c r="I34" i="1"/>
  <c r="R34" i="1"/>
  <c r="AC34" i="1"/>
  <c r="P34" i="1" s="1"/>
  <c r="AE34" i="1"/>
  <c r="AD34" i="1" s="1"/>
  <c r="AF34" i="1"/>
  <c r="CT34" i="1" s="1"/>
  <c r="AG34" i="1"/>
  <c r="CU34" i="1" s="1"/>
  <c r="T34" i="1" s="1"/>
  <c r="AH34" i="1"/>
  <c r="CV34" i="1" s="1"/>
  <c r="AI34" i="1"/>
  <c r="AJ34" i="1"/>
  <c r="CR34" i="1"/>
  <c r="CS34" i="1"/>
  <c r="CW34" i="1"/>
  <c r="V34" i="1" s="1"/>
  <c r="CX34" i="1"/>
  <c r="FR34" i="1"/>
  <c r="GL34" i="1"/>
  <c r="GO34" i="1"/>
  <c r="GP34" i="1"/>
  <c r="GV34" i="1"/>
  <c r="HC34" i="1" s="1"/>
  <c r="GX34" i="1" s="1"/>
  <c r="C35" i="1"/>
  <c r="D35" i="1"/>
  <c r="AC35" i="1"/>
  <c r="AE35" i="1"/>
  <c r="AF35" i="1"/>
  <c r="AG35" i="1"/>
  <c r="CU35" i="1" s="1"/>
  <c r="AH35" i="1"/>
  <c r="CV35" i="1" s="1"/>
  <c r="AI35" i="1"/>
  <c r="AJ35" i="1"/>
  <c r="CR35" i="1"/>
  <c r="CT35" i="1"/>
  <c r="CW35" i="1"/>
  <c r="CX35" i="1"/>
  <c r="FR35" i="1"/>
  <c r="GL35" i="1"/>
  <c r="GO35" i="1"/>
  <c r="GP35" i="1"/>
  <c r="GV35" i="1"/>
  <c r="HC35" i="1"/>
  <c r="C36" i="1"/>
  <c r="D36" i="1"/>
  <c r="I36" i="1"/>
  <c r="AC36" i="1"/>
  <c r="P36" i="1" s="1"/>
  <c r="AE36" i="1"/>
  <c r="AD36" i="1" s="1"/>
  <c r="AF36" i="1"/>
  <c r="AG36" i="1"/>
  <c r="CU36" i="1" s="1"/>
  <c r="AH36" i="1"/>
  <c r="CV36" i="1" s="1"/>
  <c r="AI36" i="1"/>
  <c r="CW36" i="1" s="1"/>
  <c r="V36" i="1" s="1"/>
  <c r="AJ36" i="1"/>
  <c r="CR36" i="1"/>
  <c r="CX36" i="1"/>
  <c r="FR36" i="1"/>
  <c r="GL36" i="1"/>
  <c r="GN36" i="1"/>
  <c r="GO36" i="1"/>
  <c r="GV36" i="1"/>
  <c r="HC36" i="1" s="1"/>
  <c r="C37" i="1"/>
  <c r="D37" i="1"/>
  <c r="AC37" i="1"/>
  <c r="CQ37" i="1" s="1"/>
  <c r="AE37" i="1"/>
  <c r="CR37" i="1" s="1"/>
  <c r="AF37" i="1"/>
  <c r="CT37" i="1" s="1"/>
  <c r="AG37" i="1"/>
  <c r="CU37" i="1" s="1"/>
  <c r="AH37" i="1"/>
  <c r="AI37" i="1"/>
  <c r="CW37" i="1" s="1"/>
  <c r="AJ37" i="1"/>
  <c r="CV37" i="1"/>
  <c r="CX37" i="1"/>
  <c r="FR37" i="1"/>
  <c r="GL37" i="1"/>
  <c r="GN37" i="1"/>
  <c r="GO37" i="1"/>
  <c r="GV37" i="1"/>
  <c r="HC37" i="1" s="1"/>
  <c r="C38" i="1"/>
  <c r="D38" i="1"/>
  <c r="AC38" i="1"/>
  <c r="CQ38" i="1" s="1"/>
  <c r="AD38" i="1"/>
  <c r="AE38" i="1"/>
  <c r="AF38" i="1"/>
  <c r="CT38" i="1" s="1"/>
  <c r="AG38" i="1"/>
  <c r="AH38" i="1"/>
  <c r="CV38" i="1" s="1"/>
  <c r="AI38" i="1"/>
  <c r="CW38" i="1" s="1"/>
  <c r="AJ38" i="1"/>
  <c r="CR38" i="1"/>
  <c r="CU38" i="1"/>
  <c r="CX38" i="1"/>
  <c r="FR38" i="1"/>
  <c r="GL38" i="1"/>
  <c r="GN38" i="1"/>
  <c r="GO38" i="1"/>
  <c r="GV38" i="1"/>
  <c r="HC38" i="1" s="1"/>
  <c r="C39" i="1"/>
  <c r="D39" i="1"/>
  <c r="AC39" i="1"/>
  <c r="AE39" i="1"/>
  <c r="CS39" i="1" s="1"/>
  <c r="AF39" i="1"/>
  <c r="AG39" i="1"/>
  <c r="CU39" i="1" s="1"/>
  <c r="AH39" i="1"/>
  <c r="AI39" i="1"/>
  <c r="CW39" i="1" s="1"/>
  <c r="AJ39" i="1"/>
  <c r="CX39" i="1" s="1"/>
  <c r="CQ39" i="1"/>
  <c r="CV39" i="1"/>
  <c r="FR39" i="1"/>
  <c r="FQ49" i="1" s="1"/>
  <c r="FQ26" i="1" s="1"/>
  <c r="GL39" i="1"/>
  <c r="GN39" i="1"/>
  <c r="GO39" i="1"/>
  <c r="GV39" i="1"/>
  <c r="HC39" i="1" s="1"/>
  <c r="C40" i="1"/>
  <c r="D40" i="1"/>
  <c r="I40" i="1"/>
  <c r="AC40" i="1"/>
  <c r="AE40" i="1"/>
  <c r="Q40" i="1" s="1"/>
  <c r="I78" i="5" s="1"/>
  <c r="AF40" i="1"/>
  <c r="AG40" i="1"/>
  <c r="AH40" i="1"/>
  <c r="AI40" i="1"/>
  <c r="CW40" i="1" s="1"/>
  <c r="V40" i="1" s="1"/>
  <c r="AJ40" i="1"/>
  <c r="CX40" i="1" s="1"/>
  <c r="CQ40" i="1"/>
  <c r="CS40" i="1"/>
  <c r="CU40" i="1"/>
  <c r="CV40" i="1"/>
  <c r="U40" i="1" s="1"/>
  <c r="I85" i="5" s="1"/>
  <c r="FR40" i="1"/>
  <c r="GL40" i="1"/>
  <c r="GO40" i="1"/>
  <c r="GP40" i="1"/>
  <c r="GV40" i="1"/>
  <c r="HC40" i="1" s="1"/>
  <c r="C41" i="1"/>
  <c r="D41" i="1"/>
  <c r="I41" i="1"/>
  <c r="AC41" i="1"/>
  <c r="AE41" i="1"/>
  <c r="AF41" i="1"/>
  <c r="AG41" i="1"/>
  <c r="CU41" i="1" s="1"/>
  <c r="AH41" i="1"/>
  <c r="CV41" i="1" s="1"/>
  <c r="AI41" i="1"/>
  <c r="CW41" i="1" s="1"/>
  <c r="V41" i="1" s="1"/>
  <c r="AJ41" i="1"/>
  <c r="CX41" i="1" s="1"/>
  <c r="CQ41" i="1"/>
  <c r="FR41" i="1"/>
  <c r="GL41" i="1"/>
  <c r="GO41" i="1"/>
  <c r="GP41" i="1"/>
  <c r="GV41" i="1"/>
  <c r="HC41" i="1" s="1"/>
  <c r="GX41" i="1" s="1"/>
  <c r="I42" i="1"/>
  <c r="V42" i="1"/>
  <c r="AC42" i="1"/>
  <c r="AE42" i="1"/>
  <c r="AD42" i="1" s="1"/>
  <c r="AB42" i="1" s="1"/>
  <c r="AF42" i="1"/>
  <c r="AG42" i="1"/>
  <c r="AH42" i="1"/>
  <c r="CV42" i="1" s="1"/>
  <c r="U42" i="1" s="1"/>
  <c r="AI42" i="1"/>
  <c r="AJ42" i="1"/>
  <c r="CX42" i="1" s="1"/>
  <c r="CQ42" i="1"/>
  <c r="CU42" i="1"/>
  <c r="T42" i="1" s="1"/>
  <c r="CW42" i="1"/>
  <c r="FR42" i="1"/>
  <c r="BY49" i="1" s="1"/>
  <c r="BY26" i="1" s="1"/>
  <c r="GL42" i="1"/>
  <c r="GO42" i="1"/>
  <c r="GP42" i="1"/>
  <c r="GV42" i="1"/>
  <c r="HC42" i="1" s="1"/>
  <c r="GX42" i="1" s="1"/>
  <c r="I43" i="1"/>
  <c r="AC43" i="1"/>
  <c r="CQ43" i="1" s="1"/>
  <c r="AE43" i="1"/>
  <c r="AD43" i="1" s="1"/>
  <c r="AF43" i="1"/>
  <c r="AG43" i="1"/>
  <c r="AH43" i="1"/>
  <c r="CV43" i="1" s="1"/>
  <c r="U43" i="1" s="1"/>
  <c r="AI43" i="1"/>
  <c r="CW43" i="1" s="1"/>
  <c r="V43" i="1" s="1"/>
  <c r="AJ43" i="1"/>
  <c r="CX43" i="1" s="1"/>
  <c r="CR43" i="1"/>
  <c r="CS43" i="1"/>
  <c r="CU43" i="1"/>
  <c r="T43" i="1" s="1"/>
  <c r="FR43" i="1"/>
  <c r="GL43" i="1"/>
  <c r="GO43" i="1"/>
  <c r="GP43" i="1"/>
  <c r="GV43" i="1"/>
  <c r="HC43" i="1" s="1"/>
  <c r="GX43" i="1" s="1"/>
  <c r="C44" i="1"/>
  <c r="D44" i="1"/>
  <c r="I44" i="1"/>
  <c r="R44" i="1"/>
  <c r="AC44" i="1"/>
  <c r="CQ44" i="1" s="1"/>
  <c r="AD44" i="1"/>
  <c r="AE44" i="1"/>
  <c r="AF44" i="1"/>
  <c r="AG44" i="1"/>
  <c r="CU44" i="1" s="1"/>
  <c r="T44" i="1" s="1"/>
  <c r="AH44" i="1"/>
  <c r="CV44" i="1" s="1"/>
  <c r="U44" i="1" s="1"/>
  <c r="I98" i="5" s="1"/>
  <c r="AI44" i="1"/>
  <c r="CW44" i="1" s="1"/>
  <c r="V44" i="1" s="1"/>
  <c r="AJ44" i="1"/>
  <c r="CX44" i="1" s="1"/>
  <c r="W44" i="1" s="1"/>
  <c r="CR44" i="1"/>
  <c r="CS44" i="1"/>
  <c r="FR44" i="1"/>
  <c r="GL44" i="1"/>
  <c r="GO44" i="1"/>
  <c r="GP44" i="1"/>
  <c r="GV44" i="1"/>
  <c r="HC44" i="1" s="1"/>
  <c r="GX44" i="1" s="1"/>
  <c r="C45" i="1"/>
  <c r="D45" i="1"/>
  <c r="I45" i="1"/>
  <c r="AC45" i="1"/>
  <c r="AE45" i="1"/>
  <c r="AF45" i="1"/>
  <c r="AG45" i="1"/>
  <c r="AH45" i="1"/>
  <c r="CV45" i="1" s="1"/>
  <c r="U45" i="1" s="1"/>
  <c r="AI45" i="1"/>
  <c r="CW45" i="1" s="1"/>
  <c r="V45" i="1" s="1"/>
  <c r="AJ45" i="1"/>
  <c r="CX45" i="1" s="1"/>
  <c r="CQ45" i="1"/>
  <c r="CR45" i="1"/>
  <c r="CU45" i="1"/>
  <c r="T45" i="1" s="1"/>
  <c r="FR45" i="1"/>
  <c r="GL45" i="1"/>
  <c r="GO45" i="1"/>
  <c r="GP45" i="1"/>
  <c r="GV45" i="1"/>
  <c r="HC45" i="1" s="1"/>
  <c r="GX45" i="1" s="1"/>
  <c r="I46" i="1"/>
  <c r="AC46" i="1"/>
  <c r="AD46" i="1"/>
  <c r="AE46" i="1"/>
  <c r="AF46" i="1"/>
  <c r="CT46" i="1" s="1"/>
  <c r="AG46" i="1"/>
  <c r="CU46" i="1" s="1"/>
  <c r="T46" i="1" s="1"/>
  <c r="AH46" i="1"/>
  <c r="CV46" i="1" s="1"/>
  <c r="AI46" i="1"/>
  <c r="CW46" i="1" s="1"/>
  <c r="V46" i="1" s="1"/>
  <c r="AJ46" i="1"/>
  <c r="CX46" i="1" s="1"/>
  <c r="CR46" i="1"/>
  <c r="CS46" i="1"/>
  <c r="FR46" i="1"/>
  <c r="GL46" i="1"/>
  <c r="GO46" i="1"/>
  <c r="GP46" i="1"/>
  <c r="GV46" i="1"/>
  <c r="HC46" i="1" s="1"/>
  <c r="GX46" i="1" s="1"/>
  <c r="AC47" i="1"/>
  <c r="AE47" i="1"/>
  <c r="AD47" i="1" s="1"/>
  <c r="AF47" i="1"/>
  <c r="AG47" i="1"/>
  <c r="CU47" i="1" s="1"/>
  <c r="AH47" i="1"/>
  <c r="AI47" i="1"/>
  <c r="CW47" i="1" s="1"/>
  <c r="AJ47" i="1"/>
  <c r="CX47" i="1" s="1"/>
  <c r="CR47" i="1"/>
  <c r="CT47" i="1"/>
  <c r="CV47" i="1"/>
  <c r="FR47" i="1"/>
  <c r="GL47" i="1"/>
  <c r="GO47" i="1"/>
  <c r="GP47" i="1"/>
  <c r="GV47" i="1"/>
  <c r="HC47" i="1" s="1"/>
  <c r="B49" i="1"/>
  <c r="B26" i="1" s="1"/>
  <c r="C49" i="1"/>
  <c r="C26" i="1" s="1"/>
  <c r="D49" i="1"/>
  <c r="D26" i="1" s="1"/>
  <c r="F49" i="1"/>
  <c r="F26" i="1" s="1"/>
  <c r="G49" i="1"/>
  <c r="BX49" i="1"/>
  <c r="BX26" i="1" s="1"/>
  <c r="BZ49" i="1"/>
  <c r="BZ26" i="1" s="1"/>
  <c r="CK49" i="1"/>
  <c r="CK26" i="1" s="1"/>
  <c r="CL49" i="1"/>
  <c r="CL26" i="1" s="1"/>
  <c r="CM49" i="1"/>
  <c r="CM26" i="1" s="1"/>
  <c r="FP49" i="1"/>
  <c r="FP26" i="1" s="1"/>
  <c r="GC49" i="1"/>
  <c r="GC26" i="1" s="1"/>
  <c r="GD49" i="1"/>
  <c r="GD26" i="1" s="1"/>
  <c r="GE49" i="1"/>
  <c r="GE26" i="1" s="1"/>
  <c r="D79" i="1"/>
  <c r="E81" i="1"/>
  <c r="Z81" i="1"/>
  <c r="AA81" i="1"/>
  <c r="AM81" i="1"/>
  <c r="AN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DB81" i="1"/>
  <c r="DC81" i="1"/>
  <c r="DD81" i="1"/>
  <c r="DE81" i="1"/>
  <c r="DF81" i="1"/>
  <c r="DR81" i="1"/>
  <c r="DS81" i="1"/>
  <c r="EE81" i="1"/>
  <c r="EF81" i="1"/>
  <c r="EW81" i="1"/>
  <c r="EX81" i="1"/>
  <c r="EY81" i="1"/>
  <c r="EZ81" i="1"/>
  <c r="FA81" i="1"/>
  <c r="FB81" i="1"/>
  <c r="FC81" i="1"/>
  <c r="FD81" i="1"/>
  <c r="FE81" i="1"/>
  <c r="FF81" i="1"/>
  <c r="FG81" i="1"/>
  <c r="FH81" i="1"/>
  <c r="FI81" i="1"/>
  <c r="FJ81" i="1"/>
  <c r="FK81" i="1"/>
  <c r="FL81" i="1"/>
  <c r="FM81" i="1"/>
  <c r="FN81" i="1"/>
  <c r="FO81" i="1"/>
  <c r="GF81" i="1"/>
  <c r="GG81" i="1"/>
  <c r="GH81" i="1"/>
  <c r="GI81" i="1"/>
  <c r="GJ81" i="1"/>
  <c r="GK81" i="1"/>
  <c r="GL81" i="1"/>
  <c r="GM81" i="1"/>
  <c r="GN81" i="1"/>
  <c r="GO81" i="1"/>
  <c r="GP81" i="1"/>
  <c r="GQ81" i="1"/>
  <c r="GR81" i="1"/>
  <c r="GS81" i="1"/>
  <c r="GT81" i="1"/>
  <c r="GU81" i="1"/>
  <c r="GV81" i="1"/>
  <c r="GW81" i="1"/>
  <c r="GX81" i="1"/>
  <c r="C83" i="1"/>
  <c r="D83" i="1"/>
  <c r="I83" i="1"/>
  <c r="S83" i="1"/>
  <c r="AC83" i="1"/>
  <c r="AE83" i="1"/>
  <c r="Q83" i="1" s="1"/>
  <c r="AF83" i="1"/>
  <c r="AG83" i="1"/>
  <c r="CU83" i="1" s="1"/>
  <c r="T83" i="1" s="1"/>
  <c r="AH83" i="1"/>
  <c r="AI83" i="1"/>
  <c r="CW83" i="1" s="1"/>
  <c r="V83" i="1" s="1"/>
  <c r="AJ83" i="1"/>
  <c r="CX83" i="1" s="1"/>
  <c r="W83" i="1" s="1"/>
  <c r="CR83" i="1"/>
  <c r="CT83" i="1"/>
  <c r="CV83" i="1"/>
  <c r="U83" i="1" s="1"/>
  <c r="I112" i="5" s="1"/>
  <c r="CZ83" i="1"/>
  <c r="Y83" i="1" s="1"/>
  <c r="S107" i="5" s="1"/>
  <c r="I111" i="5" s="1"/>
  <c r="FR83" i="1"/>
  <c r="GL83" i="1"/>
  <c r="GO83" i="1"/>
  <c r="GP83" i="1"/>
  <c r="GV83" i="1"/>
  <c r="HC83" i="1"/>
  <c r="GX83" i="1" s="1"/>
  <c r="C84" i="1"/>
  <c r="D84" i="1"/>
  <c r="I84" i="1"/>
  <c r="CX36" i="3" s="1"/>
  <c r="S84" i="1"/>
  <c r="AC84" i="1"/>
  <c r="AE84" i="1"/>
  <c r="Q84" i="1" s="1"/>
  <c r="AF84" i="1"/>
  <c r="AG84" i="1"/>
  <c r="CU84" i="1" s="1"/>
  <c r="T84" i="1" s="1"/>
  <c r="AH84" i="1"/>
  <c r="AI84" i="1"/>
  <c r="CW84" i="1" s="1"/>
  <c r="V84" i="1" s="1"/>
  <c r="AJ84" i="1"/>
  <c r="CR84" i="1"/>
  <c r="CT84" i="1"/>
  <c r="CV84" i="1"/>
  <c r="U84" i="1" s="1"/>
  <c r="CX84" i="1"/>
  <c r="W84" i="1" s="1"/>
  <c r="CZ84" i="1"/>
  <c r="Y84" i="1" s="1"/>
  <c r="T107" i="5" s="1"/>
  <c r="K111" i="5" s="1"/>
  <c r="FR84" i="1"/>
  <c r="GL84" i="1"/>
  <c r="GO84" i="1"/>
  <c r="GP84" i="1"/>
  <c r="GV84" i="1"/>
  <c r="HC84" i="1"/>
  <c r="GX84" i="1" s="1"/>
  <c r="C85" i="1"/>
  <c r="D85" i="1"/>
  <c r="I85" i="1"/>
  <c r="AC85" i="1"/>
  <c r="AE85" i="1"/>
  <c r="AF85" i="1"/>
  <c r="AG85" i="1"/>
  <c r="CU85" i="1" s="1"/>
  <c r="T85" i="1" s="1"/>
  <c r="AH85" i="1"/>
  <c r="AI85" i="1"/>
  <c r="CW85" i="1" s="1"/>
  <c r="AJ85" i="1"/>
  <c r="CR85" i="1"/>
  <c r="CT85" i="1"/>
  <c r="CV85" i="1"/>
  <c r="U85" i="1" s="1"/>
  <c r="CX85" i="1"/>
  <c r="W85" i="1" s="1"/>
  <c r="FR85" i="1"/>
  <c r="GL85" i="1"/>
  <c r="GO85" i="1"/>
  <c r="GP85" i="1"/>
  <c r="GV85" i="1"/>
  <c r="HC85" i="1" s="1"/>
  <c r="GX85" i="1" s="1"/>
  <c r="C86" i="1"/>
  <c r="D86" i="1"/>
  <c r="I86" i="1"/>
  <c r="CX38" i="3" s="1"/>
  <c r="AC86" i="1"/>
  <c r="AE86" i="1"/>
  <c r="Q86" i="1" s="1"/>
  <c r="K117" i="5" s="1"/>
  <c r="AF86" i="1"/>
  <c r="S86" i="1" s="1"/>
  <c r="AG86" i="1"/>
  <c r="CU86" i="1" s="1"/>
  <c r="AH86" i="1"/>
  <c r="CV86" i="1" s="1"/>
  <c r="AI86" i="1"/>
  <c r="CW86" i="1" s="1"/>
  <c r="AJ86" i="1"/>
  <c r="CR86" i="1"/>
  <c r="CT86" i="1"/>
  <c r="CX86" i="1"/>
  <c r="FR86" i="1"/>
  <c r="GL86" i="1"/>
  <c r="GO86" i="1"/>
  <c r="GP86" i="1"/>
  <c r="GV86" i="1"/>
  <c r="HC86" i="1" s="1"/>
  <c r="GX86" i="1" s="1"/>
  <c r="C87" i="1"/>
  <c r="D87" i="1"/>
  <c r="I87" i="1"/>
  <c r="AC87" i="1"/>
  <c r="AE87" i="1"/>
  <c r="Q87" i="1" s="1"/>
  <c r="AF87" i="1"/>
  <c r="AG87" i="1"/>
  <c r="CU87" i="1" s="1"/>
  <c r="AH87" i="1"/>
  <c r="AI87" i="1"/>
  <c r="CW87" i="1" s="1"/>
  <c r="AJ87" i="1"/>
  <c r="CR87" i="1"/>
  <c r="CT87" i="1"/>
  <c r="CV87" i="1"/>
  <c r="CX87" i="1"/>
  <c r="FR87" i="1"/>
  <c r="GL87" i="1"/>
  <c r="GO87" i="1"/>
  <c r="GP87" i="1"/>
  <c r="GV87" i="1"/>
  <c r="HC87" i="1" s="1"/>
  <c r="C88" i="1"/>
  <c r="D88" i="1"/>
  <c r="AC88" i="1"/>
  <c r="AE88" i="1"/>
  <c r="AF88" i="1"/>
  <c r="AG88" i="1"/>
  <c r="CU88" i="1" s="1"/>
  <c r="AH88" i="1"/>
  <c r="CV88" i="1" s="1"/>
  <c r="AI88" i="1"/>
  <c r="CW88" i="1" s="1"/>
  <c r="AJ88" i="1"/>
  <c r="CX88" i="1" s="1"/>
  <c r="CR88" i="1"/>
  <c r="CT88" i="1"/>
  <c r="FR88" i="1"/>
  <c r="GL88" i="1"/>
  <c r="GO88" i="1"/>
  <c r="GP88" i="1"/>
  <c r="GV88" i="1"/>
  <c r="HC88" i="1" s="1"/>
  <c r="C89" i="1"/>
  <c r="D89" i="1"/>
  <c r="AC89" i="1"/>
  <c r="AE89" i="1"/>
  <c r="AF89" i="1"/>
  <c r="AG89" i="1"/>
  <c r="CU89" i="1" s="1"/>
  <c r="AH89" i="1"/>
  <c r="AI89" i="1"/>
  <c r="CW89" i="1" s="1"/>
  <c r="AJ89" i="1"/>
  <c r="CX89" i="1" s="1"/>
  <c r="CR89" i="1"/>
  <c r="CV89" i="1"/>
  <c r="FR89" i="1"/>
  <c r="GL89" i="1"/>
  <c r="GN89" i="1"/>
  <c r="GO89" i="1"/>
  <c r="GV89" i="1"/>
  <c r="HC89" i="1"/>
  <c r="C90" i="1"/>
  <c r="D90" i="1"/>
  <c r="AC90" i="1"/>
  <c r="AE90" i="1"/>
  <c r="AF90" i="1"/>
  <c r="AG90" i="1"/>
  <c r="AH90" i="1"/>
  <c r="CV90" i="1" s="1"/>
  <c r="AI90" i="1"/>
  <c r="AJ90" i="1"/>
  <c r="CX90" i="1" s="1"/>
  <c r="CQ90" i="1"/>
  <c r="CU90" i="1"/>
  <c r="CW90" i="1"/>
  <c r="FR90" i="1"/>
  <c r="GL90" i="1"/>
  <c r="GN90" i="1"/>
  <c r="GO90" i="1"/>
  <c r="GV90" i="1"/>
  <c r="HC90" i="1" s="1"/>
  <c r="C91" i="1"/>
  <c r="D91" i="1"/>
  <c r="AC91" i="1"/>
  <c r="CQ91" i="1" s="1"/>
  <c r="AE91" i="1"/>
  <c r="CR91" i="1" s="1"/>
  <c r="AF91" i="1"/>
  <c r="AG91" i="1"/>
  <c r="AH91" i="1"/>
  <c r="CV91" i="1" s="1"/>
  <c r="AI91" i="1"/>
  <c r="CW91" i="1" s="1"/>
  <c r="AJ91" i="1"/>
  <c r="CX91" i="1" s="1"/>
  <c r="CU91" i="1"/>
  <c r="FR91" i="1"/>
  <c r="GL91" i="1"/>
  <c r="GN91" i="1"/>
  <c r="GO91" i="1"/>
  <c r="GV91" i="1"/>
  <c r="HC91" i="1"/>
  <c r="C92" i="1"/>
  <c r="D92" i="1"/>
  <c r="AC92" i="1"/>
  <c r="AE92" i="1"/>
  <c r="AD92" i="1" s="1"/>
  <c r="AF92" i="1"/>
  <c r="AG92" i="1"/>
  <c r="CU92" i="1" s="1"/>
  <c r="AH92" i="1"/>
  <c r="AI92" i="1"/>
  <c r="CW92" i="1" s="1"/>
  <c r="AJ92" i="1"/>
  <c r="CX92" i="1" s="1"/>
  <c r="CR92" i="1"/>
  <c r="CT92" i="1"/>
  <c r="CV92" i="1"/>
  <c r="FR92" i="1"/>
  <c r="GL92" i="1"/>
  <c r="GN92" i="1"/>
  <c r="GO92" i="1"/>
  <c r="GV92" i="1"/>
  <c r="HC92" i="1" s="1"/>
  <c r="C93" i="1"/>
  <c r="D93" i="1"/>
  <c r="I93" i="1"/>
  <c r="AC93" i="1"/>
  <c r="P93" i="1" s="1"/>
  <c r="I144" i="5" s="1"/>
  <c r="AE93" i="1"/>
  <c r="AD93" i="1" s="1"/>
  <c r="AF93" i="1"/>
  <c r="S93" i="1" s="1"/>
  <c r="AG93" i="1"/>
  <c r="CU93" i="1" s="1"/>
  <c r="T93" i="1" s="1"/>
  <c r="AH93" i="1"/>
  <c r="AI93" i="1"/>
  <c r="CW93" i="1" s="1"/>
  <c r="AJ93" i="1"/>
  <c r="CX93" i="1" s="1"/>
  <c r="W93" i="1" s="1"/>
  <c r="CR93" i="1"/>
  <c r="CV93" i="1"/>
  <c r="U93" i="1" s="1"/>
  <c r="I149" i="5" s="1"/>
  <c r="FR93" i="1"/>
  <c r="BY112" i="1" s="1"/>
  <c r="GL93" i="1"/>
  <c r="GO93" i="1"/>
  <c r="GP93" i="1"/>
  <c r="GV93" i="1"/>
  <c r="HC93" i="1" s="1"/>
  <c r="GX93" i="1" s="1"/>
  <c r="C94" i="1"/>
  <c r="D94" i="1"/>
  <c r="I94" i="1"/>
  <c r="I96" i="1" s="1"/>
  <c r="S96" i="1" s="1"/>
  <c r="AC94" i="1"/>
  <c r="AE94" i="1"/>
  <c r="AD94" i="1" s="1"/>
  <c r="AF94" i="1"/>
  <c r="AG94" i="1"/>
  <c r="CU94" i="1" s="1"/>
  <c r="AH94" i="1"/>
  <c r="CV94" i="1" s="1"/>
  <c r="AI94" i="1"/>
  <c r="CW94" i="1" s="1"/>
  <c r="AJ94" i="1"/>
  <c r="CR94" i="1"/>
  <c r="CT94" i="1"/>
  <c r="CX94" i="1"/>
  <c r="FR94" i="1"/>
  <c r="GL94" i="1"/>
  <c r="GO94" i="1"/>
  <c r="GP94" i="1"/>
  <c r="GV94" i="1"/>
  <c r="HC94" i="1" s="1"/>
  <c r="I95" i="1"/>
  <c r="AC95" i="1"/>
  <c r="AE95" i="1"/>
  <c r="AF95" i="1"/>
  <c r="AG95" i="1"/>
  <c r="CU95" i="1" s="1"/>
  <c r="AH95" i="1"/>
  <c r="AI95" i="1"/>
  <c r="CW95" i="1" s="1"/>
  <c r="AJ95" i="1"/>
  <c r="CX95" i="1" s="1"/>
  <c r="CT95" i="1"/>
  <c r="CV95" i="1"/>
  <c r="FR95" i="1"/>
  <c r="GL95" i="1"/>
  <c r="GO95" i="1"/>
  <c r="GP95" i="1"/>
  <c r="GV95" i="1"/>
  <c r="HC95" i="1" s="1"/>
  <c r="AC96" i="1"/>
  <c r="AE96" i="1"/>
  <c r="AF96" i="1"/>
  <c r="AG96" i="1"/>
  <c r="CU96" i="1" s="1"/>
  <c r="AH96" i="1"/>
  <c r="AI96" i="1"/>
  <c r="CW96" i="1" s="1"/>
  <c r="AJ96" i="1"/>
  <c r="CX96" i="1" s="1"/>
  <c r="W96" i="1" s="1"/>
  <c r="CT96" i="1"/>
  <c r="CV96" i="1"/>
  <c r="FR96" i="1"/>
  <c r="GL96" i="1"/>
  <c r="GO96" i="1"/>
  <c r="GP96" i="1"/>
  <c r="GV96" i="1"/>
  <c r="HC96" i="1" s="1"/>
  <c r="C97" i="1"/>
  <c r="D97" i="1"/>
  <c r="I97" i="1"/>
  <c r="AC97" i="1"/>
  <c r="AE97" i="1"/>
  <c r="AF97" i="1"/>
  <c r="CT97" i="1" s="1"/>
  <c r="AG97" i="1"/>
  <c r="CU97" i="1" s="1"/>
  <c r="AH97" i="1"/>
  <c r="AI97" i="1"/>
  <c r="CW97" i="1" s="1"/>
  <c r="V97" i="1" s="1"/>
  <c r="AJ97" i="1"/>
  <c r="CX97" i="1" s="1"/>
  <c r="CV97" i="1"/>
  <c r="FR97" i="1"/>
  <c r="GL97" i="1"/>
  <c r="GO97" i="1"/>
  <c r="GP97" i="1"/>
  <c r="GV97" i="1"/>
  <c r="HC97" i="1" s="1"/>
  <c r="C98" i="1"/>
  <c r="D98" i="1"/>
  <c r="I98" i="1"/>
  <c r="S98" i="1"/>
  <c r="CZ98" i="1" s="1"/>
  <c r="Y98" i="1" s="1"/>
  <c r="T152" i="5" s="1"/>
  <c r="AC98" i="1"/>
  <c r="AE98" i="1"/>
  <c r="Q98" i="1" s="1"/>
  <c r="K154" i="5" s="1"/>
  <c r="AF98" i="1"/>
  <c r="AG98" i="1"/>
  <c r="CU98" i="1" s="1"/>
  <c r="T98" i="1" s="1"/>
  <c r="AH98" i="1"/>
  <c r="CV98" i="1" s="1"/>
  <c r="U98" i="1" s="1"/>
  <c r="AI98" i="1"/>
  <c r="CW98" i="1" s="1"/>
  <c r="V98" i="1" s="1"/>
  <c r="AJ98" i="1"/>
  <c r="CT98" i="1"/>
  <c r="CX98" i="1"/>
  <c r="W98" i="1" s="1"/>
  <c r="FR98" i="1"/>
  <c r="GL98" i="1"/>
  <c r="GO98" i="1"/>
  <c r="GP98" i="1"/>
  <c r="GV98" i="1"/>
  <c r="HC98" i="1" s="1"/>
  <c r="GX98" i="1" s="1"/>
  <c r="I99" i="1"/>
  <c r="AC99" i="1"/>
  <c r="AE99" i="1"/>
  <c r="AF99" i="1"/>
  <c r="AG99" i="1"/>
  <c r="CU99" i="1" s="1"/>
  <c r="AH99" i="1"/>
  <c r="AI99" i="1"/>
  <c r="CW99" i="1" s="1"/>
  <c r="V99" i="1" s="1"/>
  <c r="AJ99" i="1"/>
  <c r="CX99" i="1" s="1"/>
  <c r="CV99" i="1"/>
  <c r="FR99" i="1"/>
  <c r="GL99" i="1"/>
  <c r="GO99" i="1"/>
  <c r="GP99" i="1"/>
  <c r="GV99" i="1"/>
  <c r="HC99" i="1" s="1"/>
  <c r="I100" i="1"/>
  <c r="S100" i="1"/>
  <c r="AC100" i="1"/>
  <c r="AE100" i="1"/>
  <c r="Q100" i="1" s="1"/>
  <c r="AF100" i="1"/>
  <c r="AG100" i="1"/>
  <c r="CU100" i="1" s="1"/>
  <c r="T100" i="1" s="1"/>
  <c r="AH100" i="1"/>
  <c r="CV100" i="1" s="1"/>
  <c r="U100" i="1" s="1"/>
  <c r="AI100" i="1"/>
  <c r="CW100" i="1" s="1"/>
  <c r="V100" i="1" s="1"/>
  <c r="AJ100" i="1"/>
  <c r="CX100" i="1" s="1"/>
  <c r="W100" i="1" s="1"/>
  <c r="CT100" i="1"/>
  <c r="FR100" i="1"/>
  <c r="GL100" i="1"/>
  <c r="GO100" i="1"/>
  <c r="GP100" i="1"/>
  <c r="GV100" i="1"/>
  <c r="HC100" i="1" s="1"/>
  <c r="GX100" i="1" s="1"/>
  <c r="C101" i="1"/>
  <c r="D101" i="1"/>
  <c r="I101" i="1"/>
  <c r="AC101" i="1"/>
  <c r="AE101" i="1"/>
  <c r="AF101" i="1"/>
  <c r="AG101" i="1"/>
  <c r="CU101" i="1" s="1"/>
  <c r="AH101" i="1"/>
  <c r="AI101" i="1"/>
  <c r="CW101" i="1" s="1"/>
  <c r="V101" i="1" s="1"/>
  <c r="AJ101" i="1"/>
  <c r="CT101" i="1"/>
  <c r="CV101" i="1"/>
  <c r="CX101" i="1"/>
  <c r="FR101" i="1"/>
  <c r="GL101" i="1"/>
  <c r="GO101" i="1"/>
  <c r="GP101" i="1"/>
  <c r="GV101" i="1"/>
  <c r="HC101" i="1" s="1"/>
  <c r="C102" i="1"/>
  <c r="D102" i="1"/>
  <c r="I102" i="1"/>
  <c r="Q102" i="1"/>
  <c r="K167" i="5" s="1"/>
  <c r="S102" i="1"/>
  <c r="AC102" i="1"/>
  <c r="AE102" i="1"/>
  <c r="CR102" i="1" s="1"/>
  <c r="AF102" i="1"/>
  <c r="CT102" i="1" s="1"/>
  <c r="AG102" i="1"/>
  <c r="CU102" i="1" s="1"/>
  <c r="T102" i="1" s="1"/>
  <c r="AH102" i="1"/>
  <c r="AI102" i="1"/>
  <c r="CW102" i="1" s="1"/>
  <c r="V102" i="1" s="1"/>
  <c r="AJ102" i="1"/>
  <c r="CV102" i="1"/>
  <c r="U102" i="1" s="1"/>
  <c r="CX102" i="1"/>
  <c r="W102" i="1" s="1"/>
  <c r="FR102" i="1"/>
  <c r="GL102" i="1"/>
  <c r="GO102" i="1"/>
  <c r="GP102" i="1"/>
  <c r="GV102" i="1"/>
  <c r="HC102" i="1" s="1"/>
  <c r="GX102" i="1" s="1"/>
  <c r="AC103" i="1"/>
  <c r="AE103" i="1"/>
  <c r="AF103" i="1"/>
  <c r="CT103" i="1" s="1"/>
  <c r="AG103" i="1"/>
  <c r="CU103" i="1" s="1"/>
  <c r="AH103" i="1"/>
  <c r="AI103" i="1"/>
  <c r="CW103" i="1" s="1"/>
  <c r="AJ103" i="1"/>
  <c r="CX103" i="1" s="1"/>
  <c r="CV103" i="1"/>
  <c r="FR103" i="1"/>
  <c r="GL103" i="1"/>
  <c r="GO103" i="1"/>
  <c r="GP103" i="1"/>
  <c r="GV103" i="1"/>
  <c r="HC103" i="1" s="1"/>
  <c r="I104" i="1"/>
  <c r="Q104" i="1"/>
  <c r="AC104" i="1"/>
  <c r="CQ104" i="1" s="1"/>
  <c r="AD104" i="1"/>
  <c r="AE104" i="1"/>
  <c r="R104" i="1" s="1"/>
  <c r="V170" i="5" s="1"/>
  <c r="AF104" i="1"/>
  <c r="S104" i="1" s="1"/>
  <c r="AG104" i="1"/>
  <c r="AH104" i="1"/>
  <c r="CV104" i="1" s="1"/>
  <c r="U104" i="1" s="1"/>
  <c r="AI104" i="1"/>
  <c r="AJ104" i="1"/>
  <c r="CX104" i="1" s="1"/>
  <c r="W104" i="1" s="1"/>
  <c r="CR104" i="1"/>
  <c r="CS104" i="1"/>
  <c r="CU104" i="1"/>
  <c r="T104" i="1" s="1"/>
  <c r="CW104" i="1"/>
  <c r="V104" i="1" s="1"/>
  <c r="FR104" i="1"/>
  <c r="GK104" i="1"/>
  <c r="GL104" i="1"/>
  <c r="GO104" i="1"/>
  <c r="GP104" i="1"/>
  <c r="GV104" i="1"/>
  <c r="HC104" i="1" s="1"/>
  <c r="GX104" i="1" s="1"/>
  <c r="I105" i="1"/>
  <c r="R105" i="1"/>
  <c r="AC105" i="1"/>
  <c r="AE105" i="1"/>
  <c r="CS105" i="1" s="1"/>
  <c r="AF105" i="1"/>
  <c r="AG105" i="1"/>
  <c r="AH105" i="1"/>
  <c r="CV105" i="1" s="1"/>
  <c r="U105" i="1" s="1"/>
  <c r="AI105" i="1"/>
  <c r="CW105" i="1" s="1"/>
  <c r="V105" i="1" s="1"/>
  <c r="AJ105" i="1"/>
  <c r="CX105" i="1" s="1"/>
  <c r="CR105" i="1"/>
  <c r="CU105" i="1"/>
  <c r="FR105" i="1"/>
  <c r="GL105" i="1"/>
  <c r="GO105" i="1"/>
  <c r="GP105" i="1"/>
  <c r="GV105" i="1"/>
  <c r="HC105" i="1" s="1"/>
  <c r="I106" i="1"/>
  <c r="P106" i="1" s="1"/>
  <c r="AC106" i="1"/>
  <c r="CQ106" i="1" s="1"/>
  <c r="AD106" i="1"/>
  <c r="AE106" i="1"/>
  <c r="R106" i="1" s="1"/>
  <c r="AF106" i="1"/>
  <c r="AG106" i="1"/>
  <c r="CU106" i="1" s="1"/>
  <c r="AH106" i="1"/>
  <c r="CV106" i="1" s="1"/>
  <c r="AI106" i="1"/>
  <c r="AJ106" i="1"/>
  <c r="CX106" i="1" s="1"/>
  <c r="W106" i="1" s="1"/>
  <c r="CR106" i="1"/>
  <c r="CS106" i="1"/>
  <c r="CW106" i="1"/>
  <c r="FR106" i="1"/>
  <c r="GL106" i="1"/>
  <c r="GO106" i="1"/>
  <c r="FU112" i="1" s="1"/>
  <c r="FU81" i="1" s="1"/>
  <c r="GP106" i="1"/>
  <c r="GV106" i="1"/>
  <c r="HC106" i="1"/>
  <c r="C107" i="1"/>
  <c r="D107" i="1"/>
  <c r="I107" i="1"/>
  <c r="AC107" i="1"/>
  <c r="AD107" i="1"/>
  <c r="AE107" i="1"/>
  <c r="AF107" i="1"/>
  <c r="AB107" i="1" s="1"/>
  <c r="AG107" i="1"/>
  <c r="CU107" i="1" s="1"/>
  <c r="AH107" i="1"/>
  <c r="CV107" i="1" s="1"/>
  <c r="AI107" i="1"/>
  <c r="AJ107" i="1"/>
  <c r="CX107" i="1" s="1"/>
  <c r="CQ107" i="1"/>
  <c r="CR107" i="1"/>
  <c r="CS107" i="1"/>
  <c r="CW107" i="1"/>
  <c r="FR107" i="1"/>
  <c r="GL107" i="1"/>
  <c r="GO107" i="1"/>
  <c r="GP107" i="1"/>
  <c r="GV107" i="1"/>
  <c r="HC107" i="1"/>
  <c r="C108" i="1"/>
  <c r="D108" i="1"/>
  <c r="I108" i="1"/>
  <c r="AC108" i="1"/>
  <c r="AD108" i="1"/>
  <c r="AE108" i="1"/>
  <c r="R108" i="1" s="1"/>
  <c r="AF108" i="1"/>
  <c r="AB108" i="1" s="1"/>
  <c r="AG108" i="1"/>
  <c r="CU108" i="1" s="1"/>
  <c r="T108" i="1" s="1"/>
  <c r="AH108" i="1"/>
  <c r="CV108" i="1" s="1"/>
  <c r="AI108" i="1"/>
  <c r="AJ108" i="1"/>
  <c r="CX108" i="1" s="1"/>
  <c r="W108" i="1" s="1"/>
  <c r="CQ108" i="1"/>
  <c r="CR108" i="1"/>
  <c r="CS108" i="1"/>
  <c r="CW108" i="1"/>
  <c r="FR108" i="1"/>
  <c r="GL108" i="1"/>
  <c r="GO108" i="1"/>
  <c r="GP108" i="1"/>
  <c r="GV108" i="1"/>
  <c r="HC108" i="1" s="1"/>
  <c r="AC109" i="1"/>
  <c r="AD109" i="1"/>
  <c r="AE109" i="1"/>
  <c r="AF109" i="1"/>
  <c r="AG109" i="1"/>
  <c r="CU109" i="1" s="1"/>
  <c r="AH109" i="1"/>
  <c r="CV109" i="1" s="1"/>
  <c r="AI109" i="1"/>
  <c r="CW109" i="1" s="1"/>
  <c r="AJ109" i="1"/>
  <c r="CX109" i="1" s="1"/>
  <c r="CR109" i="1"/>
  <c r="CS109" i="1"/>
  <c r="FR109" i="1"/>
  <c r="GL109" i="1"/>
  <c r="GO109" i="1"/>
  <c r="GP109" i="1"/>
  <c r="GV109" i="1"/>
  <c r="HC109" i="1" s="1"/>
  <c r="I110" i="1"/>
  <c r="P110" i="1" s="1"/>
  <c r="AC110" i="1"/>
  <c r="AE110" i="1"/>
  <c r="AF110" i="1"/>
  <c r="AG110" i="1"/>
  <c r="AH110" i="1"/>
  <c r="CV110" i="1" s="1"/>
  <c r="U110" i="1" s="1"/>
  <c r="AI110" i="1"/>
  <c r="AJ110" i="1"/>
  <c r="CX110" i="1" s="1"/>
  <c r="CQ110" i="1"/>
  <c r="CS110" i="1"/>
  <c r="CU110" i="1"/>
  <c r="T110" i="1" s="1"/>
  <c r="CW110" i="1"/>
  <c r="FR110" i="1"/>
  <c r="GL110" i="1"/>
  <c r="GO110" i="1"/>
  <c r="GP110" i="1"/>
  <c r="GV110" i="1"/>
  <c r="HC110" i="1" s="1"/>
  <c r="GX110" i="1" s="1"/>
  <c r="B112" i="1"/>
  <c r="B81" i="1" s="1"/>
  <c r="C112" i="1"/>
  <c r="C81" i="1" s="1"/>
  <c r="D112" i="1"/>
  <c r="D81" i="1" s="1"/>
  <c r="F112" i="1"/>
  <c r="F81" i="1" s="1"/>
  <c r="G112" i="1"/>
  <c r="BX112" i="1"/>
  <c r="CK112" i="1"/>
  <c r="CK81" i="1" s="1"/>
  <c r="CL112" i="1"/>
  <c r="CL81" i="1" s="1"/>
  <c r="CM112" i="1"/>
  <c r="CM81" i="1" s="1"/>
  <c r="FP112" i="1"/>
  <c r="FP81" i="1" s="1"/>
  <c r="GC112" i="1"/>
  <c r="GC81" i="1" s="1"/>
  <c r="GD112" i="1"/>
  <c r="GD81" i="1" s="1"/>
  <c r="GE112" i="1"/>
  <c r="GE81" i="1" s="1"/>
  <c r="D142" i="1"/>
  <c r="E144" i="1"/>
  <c r="Z144" i="1"/>
  <c r="AA144" i="1"/>
  <c r="AM144" i="1"/>
  <c r="AN144" i="1"/>
  <c r="BE144" i="1"/>
  <c r="BF144" i="1"/>
  <c r="BG144" i="1"/>
  <c r="BH144" i="1"/>
  <c r="BI144" i="1"/>
  <c r="BJ144" i="1"/>
  <c r="BK144" i="1"/>
  <c r="BL144" i="1"/>
  <c r="BM144" i="1"/>
  <c r="BN144" i="1"/>
  <c r="BO144" i="1"/>
  <c r="BP144" i="1"/>
  <c r="BQ144" i="1"/>
  <c r="BR144" i="1"/>
  <c r="BS144" i="1"/>
  <c r="BT144" i="1"/>
  <c r="BU144" i="1"/>
  <c r="BV144" i="1"/>
  <c r="BW144" i="1"/>
  <c r="CN144" i="1"/>
  <c r="CO144" i="1"/>
  <c r="CP144" i="1"/>
  <c r="CQ144" i="1"/>
  <c r="CR144" i="1"/>
  <c r="CS144" i="1"/>
  <c r="CT144" i="1"/>
  <c r="CU144" i="1"/>
  <c r="CV144" i="1"/>
  <c r="CW144" i="1"/>
  <c r="CX144" i="1"/>
  <c r="CY144" i="1"/>
  <c r="CZ144" i="1"/>
  <c r="DA144" i="1"/>
  <c r="DB144" i="1"/>
  <c r="DC144" i="1"/>
  <c r="DD144" i="1"/>
  <c r="DE144" i="1"/>
  <c r="DF144" i="1"/>
  <c r="DR144" i="1"/>
  <c r="DS144" i="1"/>
  <c r="EE144" i="1"/>
  <c r="EF144" i="1"/>
  <c r="EW144" i="1"/>
  <c r="EX144" i="1"/>
  <c r="EY144" i="1"/>
  <c r="EZ144" i="1"/>
  <c r="FA144" i="1"/>
  <c r="FB144" i="1"/>
  <c r="FC144" i="1"/>
  <c r="FD144" i="1"/>
  <c r="FE144" i="1"/>
  <c r="FF144" i="1"/>
  <c r="FG144" i="1"/>
  <c r="FH144" i="1"/>
  <c r="FI144" i="1"/>
  <c r="FJ144" i="1"/>
  <c r="FK144" i="1"/>
  <c r="FL144" i="1"/>
  <c r="FM144" i="1"/>
  <c r="FN144" i="1"/>
  <c r="FO144" i="1"/>
  <c r="GF144" i="1"/>
  <c r="GG144" i="1"/>
  <c r="GH144" i="1"/>
  <c r="GI144" i="1"/>
  <c r="GJ144" i="1"/>
  <c r="GK144" i="1"/>
  <c r="GL144" i="1"/>
  <c r="GM144" i="1"/>
  <c r="GN144" i="1"/>
  <c r="GO144" i="1"/>
  <c r="GP144" i="1"/>
  <c r="GQ144" i="1"/>
  <c r="GR144" i="1"/>
  <c r="GS144" i="1"/>
  <c r="GT144" i="1"/>
  <c r="GU144" i="1"/>
  <c r="GV144" i="1"/>
  <c r="GW144" i="1"/>
  <c r="GX144" i="1"/>
  <c r="AC146" i="1"/>
  <c r="AE146" i="1"/>
  <c r="Q146" i="1" s="1"/>
  <c r="AF146" i="1"/>
  <c r="AG146" i="1"/>
  <c r="CU146" i="1" s="1"/>
  <c r="T146" i="1" s="1"/>
  <c r="AH146" i="1"/>
  <c r="AI146" i="1"/>
  <c r="CW146" i="1" s="1"/>
  <c r="V146" i="1" s="1"/>
  <c r="AJ146" i="1"/>
  <c r="CV146" i="1"/>
  <c r="U146" i="1" s="1"/>
  <c r="CX146" i="1"/>
  <c r="W146" i="1" s="1"/>
  <c r="FR146" i="1"/>
  <c r="BY173" i="1" s="1"/>
  <c r="BY144" i="1" s="1"/>
  <c r="GL146" i="1"/>
  <c r="GO146" i="1"/>
  <c r="GP146" i="1"/>
  <c r="GV146" i="1"/>
  <c r="HC146" i="1" s="1"/>
  <c r="GX146" i="1" s="1"/>
  <c r="P147" i="1"/>
  <c r="R147" i="1"/>
  <c r="AC147" i="1"/>
  <c r="AD147" i="1"/>
  <c r="AB147" i="1" s="1"/>
  <c r="AE147" i="1"/>
  <c r="Q147" i="1" s="1"/>
  <c r="AF147" i="1"/>
  <c r="AG147" i="1"/>
  <c r="CU147" i="1" s="1"/>
  <c r="T147" i="1" s="1"/>
  <c r="AH147" i="1"/>
  <c r="CV147" i="1" s="1"/>
  <c r="U147" i="1" s="1"/>
  <c r="AI147" i="1"/>
  <c r="AJ147" i="1"/>
  <c r="CX147" i="1" s="1"/>
  <c r="W147" i="1" s="1"/>
  <c r="CQ147" i="1"/>
  <c r="CR147" i="1"/>
  <c r="CS147" i="1"/>
  <c r="CW147" i="1"/>
  <c r="V147" i="1" s="1"/>
  <c r="FR147" i="1"/>
  <c r="GL147" i="1"/>
  <c r="GO147" i="1"/>
  <c r="GP147" i="1"/>
  <c r="GV147" i="1"/>
  <c r="HC147" i="1" s="1"/>
  <c r="GX147" i="1" s="1"/>
  <c r="C148" i="1"/>
  <c r="D148" i="1"/>
  <c r="I148" i="1"/>
  <c r="P148" i="1"/>
  <c r="AC148" i="1"/>
  <c r="CQ148" i="1" s="1"/>
  <c r="AE148" i="1"/>
  <c r="AF148" i="1"/>
  <c r="AG148" i="1"/>
  <c r="AH148" i="1"/>
  <c r="AI148" i="1"/>
  <c r="CW148" i="1" s="1"/>
  <c r="V148" i="1" s="1"/>
  <c r="AJ148" i="1"/>
  <c r="CX148" i="1" s="1"/>
  <c r="CR148" i="1"/>
  <c r="CU148" i="1"/>
  <c r="CV148" i="1"/>
  <c r="U148" i="1" s="1"/>
  <c r="I208" i="5" s="1"/>
  <c r="FR148" i="1"/>
  <c r="GL148" i="1"/>
  <c r="GO148" i="1"/>
  <c r="GP148" i="1"/>
  <c r="GV148" i="1"/>
  <c r="HC148" i="1" s="1"/>
  <c r="C149" i="1"/>
  <c r="D149" i="1"/>
  <c r="I149" i="1"/>
  <c r="AC149" i="1"/>
  <c r="AE149" i="1"/>
  <c r="Q149" i="1" s="1"/>
  <c r="K203" i="5" s="1"/>
  <c r="AF149" i="1"/>
  <c r="S149" i="1" s="1"/>
  <c r="AG149" i="1"/>
  <c r="CU149" i="1" s="1"/>
  <c r="T149" i="1" s="1"/>
  <c r="AH149" i="1"/>
  <c r="CV149" i="1" s="1"/>
  <c r="U149" i="1" s="1"/>
  <c r="AI149" i="1"/>
  <c r="CW149" i="1" s="1"/>
  <c r="AJ149" i="1"/>
  <c r="CR149" i="1"/>
  <c r="CT149" i="1"/>
  <c r="CX149" i="1"/>
  <c r="W149" i="1" s="1"/>
  <c r="FR149" i="1"/>
  <c r="GL149" i="1"/>
  <c r="GO149" i="1"/>
  <c r="GP149" i="1"/>
  <c r="GV149" i="1"/>
  <c r="HC149" i="1" s="1"/>
  <c r="GX149" i="1" s="1"/>
  <c r="C150" i="1"/>
  <c r="D150" i="1"/>
  <c r="I150" i="1"/>
  <c r="AC150" i="1"/>
  <c r="AE150" i="1"/>
  <c r="Q150" i="1" s="1"/>
  <c r="AF150" i="1"/>
  <c r="AG150" i="1"/>
  <c r="CU150" i="1" s="1"/>
  <c r="AH150" i="1"/>
  <c r="CV150" i="1" s="1"/>
  <c r="U150" i="1" s="1"/>
  <c r="I216" i="5" s="1"/>
  <c r="AI150" i="1"/>
  <c r="CW150" i="1" s="1"/>
  <c r="AJ150" i="1"/>
  <c r="CR150" i="1"/>
  <c r="CT150" i="1"/>
  <c r="CX150" i="1"/>
  <c r="W150" i="1" s="1"/>
  <c r="FR150" i="1"/>
  <c r="GL150" i="1"/>
  <c r="GO150" i="1"/>
  <c r="GP150" i="1"/>
  <c r="GV150" i="1"/>
  <c r="HC150" i="1" s="1"/>
  <c r="GX150" i="1" s="1"/>
  <c r="C151" i="1"/>
  <c r="D151" i="1"/>
  <c r="I151" i="1"/>
  <c r="CX102" i="3" s="1"/>
  <c r="AC151" i="1"/>
  <c r="AE151" i="1"/>
  <c r="Q151" i="1" s="1"/>
  <c r="AF151" i="1"/>
  <c r="S151" i="1" s="1"/>
  <c r="AG151" i="1"/>
  <c r="CU151" i="1" s="1"/>
  <c r="T151" i="1" s="1"/>
  <c r="AH151" i="1"/>
  <c r="AI151" i="1"/>
  <c r="CW151" i="1" s="1"/>
  <c r="AJ151" i="1"/>
  <c r="CR151" i="1"/>
  <c r="CT151" i="1"/>
  <c r="CV151" i="1"/>
  <c r="U151" i="1" s="1"/>
  <c r="CX151" i="1"/>
  <c r="W151" i="1" s="1"/>
  <c r="FR151" i="1"/>
  <c r="GL151" i="1"/>
  <c r="GO151" i="1"/>
  <c r="GP151" i="1"/>
  <c r="GV151" i="1"/>
  <c r="HC151" i="1" s="1"/>
  <c r="GX151" i="1" s="1"/>
  <c r="C152" i="1"/>
  <c r="D152" i="1"/>
  <c r="AC152" i="1"/>
  <c r="AE152" i="1"/>
  <c r="AF152" i="1"/>
  <c r="AG152" i="1"/>
  <c r="CU152" i="1" s="1"/>
  <c r="AH152" i="1"/>
  <c r="AI152" i="1"/>
  <c r="CW152" i="1" s="1"/>
  <c r="AJ152" i="1"/>
  <c r="CX152" i="1" s="1"/>
  <c r="CR152" i="1"/>
  <c r="CT152" i="1"/>
  <c r="CV152" i="1"/>
  <c r="FR152" i="1"/>
  <c r="GL152" i="1"/>
  <c r="BZ173" i="1" s="1"/>
  <c r="BZ144" i="1" s="1"/>
  <c r="GO152" i="1"/>
  <c r="GP152" i="1"/>
  <c r="GV152" i="1"/>
  <c r="HC152" i="1"/>
  <c r="C153" i="1"/>
  <c r="D153" i="1"/>
  <c r="I153" i="1"/>
  <c r="I155" i="1" s="1"/>
  <c r="CX110" i="3" s="1"/>
  <c r="AC153" i="1"/>
  <c r="AE153" i="1"/>
  <c r="AF153" i="1"/>
  <c r="S153" i="1" s="1"/>
  <c r="AG153" i="1"/>
  <c r="CU153" i="1" s="1"/>
  <c r="AH153" i="1"/>
  <c r="CV153" i="1" s="1"/>
  <c r="U153" i="1" s="1"/>
  <c r="AI153" i="1"/>
  <c r="CW153" i="1" s="1"/>
  <c r="AJ153" i="1"/>
  <c r="CR153" i="1"/>
  <c r="CT153" i="1"/>
  <c r="CX153" i="1"/>
  <c r="W153" i="1" s="1"/>
  <c r="FR153" i="1"/>
  <c r="GL153" i="1"/>
  <c r="GO153" i="1"/>
  <c r="GP153" i="1"/>
  <c r="GV153" i="1"/>
  <c r="HC153" i="1" s="1"/>
  <c r="GX153" i="1" s="1"/>
  <c r="C154" i="1"/>
  <c r="D154" i="1"/>
  <c r="AC154" i="1"/>
  <c r="AE154" i="1"/>
  <c r="AF154" i="1"/>
  <c r="AG154" i="1"/>
  <c r="CU154" i="1" s="1"/>
  <c r="AH154" i="1"/>
  <c r="CV154" i="1" s="1"/>
  <c r="AI154" i="1"/>
  <c r="CW154" i="1" s="1"/>
  <c r="AJ154" i="1"/>
  <c r="CX154" i="1" s="1"/>
  <c r="CR154" i="1"/>
  <c r="CT154" i="1"/>
  <c r="FR154" i="1"/>
  <c r="GL154" i="1"/>
  <c r="GO154" i="1"/>
  <c r="GP154" i="1"/>
  <c r="GV154" i="1"/>
  <c r="HC154" i="1" s="1"/>
  <c r="C155" i="1"/>
  <c r="D155" i="1"/>
  <c r="AC155" i="1"/>
  <c r="AE155" i="1"/>
  <c r="AF155" i="1"/>
  <c r="S155" i="1" s="1"/>
  <c r="AG155" i="1"/>
  <c r="CU155" i="1" s="1"/>
  <c r="AH155" i="1"/>
  <c r="AI155" i="1"/>
  <c r="CW155" i="1" s="1"/>
  <c r="AJ155" i="1"/>
  <c r="CX155" i="1" s="1"/>
  <c r="CR155" i="1"/>
  <c r="CV155" i="1"/>
  <c r="FR155" i="1"/>
  <c r="FQ173" i="1" s="1"/>
  <c r="FQ144" i="1" s="1"/>
  <c r="GL155" i="1"/>
  <c r="GO155" i="1"/>
  <c r="GP155" i="1"/>
  <c r="GV155" i="1"/>
  <c r="HC155" i="1" s="1"/>
  <c r="C156" i="1"/>
  <c r="D156" i="1"/>
  <c r="I156" i="1"/>
  <c r="S156" i="1"/>
  <c r="CY156" i="1" s="1"/>
  <c r="X156" i="1" s="1"/>
  <c r="Q238" i="5" s="1"/>
  <c r="AC156" i="1"/>
  <c r="AE156" i="1"/>
  <c r="AF156" i="1"/>
  <c r="CT156" i="1" s="1"/>
  <c r="AG156" i="1"/>
  <c r="CU156" i="1" s="1"/>
  <c r="AH156" i="1"/>
  <c r="CV156" i="1" s="1"/>
  <c r="U156" i="1" s="1"/>
  <c r="AI156" i="1"/>
  <c r="CW156" i="1" s="1"/>
  <c r="V156" i="1" s="1"/>
  <c r="AJ156" i="1"/>
  <c r="CR156" i="1"/>
  <c r="CX156" i="1"/>
  <c r="W156" i="1" s="1"/>
  <c r="CZ156" i="1"/>
  <c r="Y156" i="1" s="1"/>
  <c r="S238" i="5" s="1"/>
  <c r="FR156" i="1"/>
  <c r="GL156" i="1"/>
  <c r="GN156" i="1"/>
  <c r="GO156" i="1"/>
  <c r="GV156" i="1"/>
  <c r="HC156" i="1" s="1"/>
  <c r="GX156" i="1" s="1"/>
  <c r="C157" i="1"/>
  <c r="D157" i="1"/>
  <c r="I157" i="1"/>
  <c r="CX112" i="3" s="1"/>
  <c r="P157" i="1"/>
  <c r="R157" i="1"/>
  <c r="AC157" i="1"/>
  <c r="AE157" i="1"/>
  <c r="AD157" i="1" s="1"/>
  <c r="AF157" i="1"/>
  <c r="AG157" i="1"/>
  <c r="AH157" i="1"/>
  <c r="CV157" i="1" s="1"/>
  <c r="U157" i="1" s="1"/>
  <c r="AI157" i="1"/>
  <c r="AJ157" i="1"/>
  <c r="CX157" i="1" s="1"/>
  <c r="W157" i="1" s="1"/>
  <c r="CQ157" i="1"/>
  <c r="CS157" i="1"/>
  <c r="CU157" i="1"/>
  <c r="T157" i="1" s="1"/>
  <c r="CW157" i="1"/>
  <c r="V157" i="1" s="1"/>
  <c r="FR157" i="1"/>
  <c r="GL157" i="1"/>
  <c r="GN157" i="1"/>
  <c r="GO157" i="1"/>
  <c r="GV157" i="1"/>
  <c r="HC157" i="1" s="1"/>
  <c r="GX157" i="1" s="1"/>
  <c r="C158" i="1"/>
  <c r="D158" i="1"/>
  <c r="I158" i="1"/>
  <c r="R158" i="1"/>
  <c r="U243" i="5" s="1"/>
  <c r="AC158" i="1"/>
  <c r="AE158" i="1"/>
  <c r="AD158" i="1" s="1"/>
  <c r="AF158" i="1"/>
  <c r="AG158" i="1"/>
  <c r="AH158" i="1"/>
  <c r="CV158" i="1" s="1"/>
  <c r="U158" i="1" s="1"/>
  <c r="AI158" i="1"/>
  <c r="AJ158" i="1"/>
  <c r="CX158" i="1" s="1"/>
  <c r="CQ158" i="1"/>
  <c r="CS158" i="1"/>
  <c r="CU158" i="1"/>
  <c r="T158" i="1" s="1"/>
  <c r="CW158" i="1"/>
  <c r="FR158" i="1"/>
  <c r="GL158" i="1"/>
  <c r="GN158" i="1"/>
  <c r="GO158" i="1"/>
  <c r="GV158" i="1"/>
  <c r="HC158" i="1" s="1"/>
  <c r="GX158" i="1" s="1"/>
  <c r="C159" i="1"/>
  <c r="D159" i="1"/>
  <c r="AC159" i="1"/>
  <c r="AE159" i="1"/>
  <c r="AD159" i="1" s="1"/>
  <c r="AF159" i="1"/>
  <c r="AG159" i="1"/>
  <c r="CU159" i="1" s="1"/>
  <c r="AH159" i="1"/>
  <c r="AI159" i="1"/>
  <c r="CW159" i="1" s="1"/>
  <c r="AJ159" i="1"/>
  <c r="CX159" i="1" s="1"/>
  <c r="CR159" i="1"/>
  <c r="CT159" i="1"/>
  <c r="CV159" i="1"/>
  <c r="FR159" i="1"/>
  <c r="GL159" i="1"/>
  <c r="GN159" i="1"/>
  <c r="GO159" i="1"/>
  <c r="GV159" i="1"/>
  <c r="HC159" i="1" s="1"/>
  <c r="C160" i="1"/>
  <c r="D160" i="1"/>
  <c r="I160" i="1"/>
  <c r="I162" i="1" s="1"/>
  <c r="S160" i="1"/>
  <c r="AC160" i="1"/>
  <c r="AE160" i="1"/>
  <c r="AD160" i="1" s="1"/>
  <c r="AF160" i="1"/>
  <c r="AG160" i="1"/>
  <c r="CU160" i="1" s="1"/>
  <c r="AH160" i="1"/>
  <c r="CV160" i="1" s="1"/>
  <c r="U160" i="1" s="1"/>
  <c r="I256" i="5" s="1"/>
  <c r="AI160" i="1"/>
  <c r="CW160" i="1" s="1"/>
  <c r="V160" i="1" s="1"/>
  <c r="AJ160" i="1"/>
  <c r="CR160" i="1"/>
  <c r="CT160" i="1"/>
  <c r="CX160" i="1"/>
  <c r="W160" i="1" s="1"/>
  <c r="CZ160" i="1"/>
  <c r="Y160" i="1" s="1"/>
  <c r="S247" i="5" s="1"/>
  <c r="FR160" i="1"/>
  <c r="GL160" i="1"/>
  <c r="GO160" i="1"/>
  <c r="GP160" i="1"/>
  <c r="GV160" i="1"/>
  <c r="HC160" i="1"/>
  <c r="GX160" i="1" s="1"/>
  <c r="C161" i="1"/>
  <c r="D161" i="1"/>
  <c r="I161" i="1"/>
  <c r="AC161" i="1"/>
  <c r="P161" i="1" s="1"/>
  <c r="AE161" i="1"/>
  <c r="AD161" i="1" s="1"/>
  <c r="AF161" i="1"/>
  <c r="S161" i="1" s="1"/>
  <c r="AG161" i="1"/>
  <c r="CU161" i="1" s="1"/>
  <c r="AH161" i="1"/>
  <c r="CV161" i="1" s="1"/>
  <c r="U161" i="1" s="1"/>
  <c r="AI161" i="1"/>
  <c r="CW161" i="1" s="1"/>
  <c r="AJ161" i="1"/>
  <c r="CX161" i="1" s="1"/>
  <c r="W161" i="1" s="1"/>
  <c r="CR161" i="1"/>
  <c r="CT161" i="1"/>
  <c r="FR161" i="1"/>
  <c r="GL161" i="1"/>
  <c r="FR173" i="1" s="1"/>
  <c r="FR144" i="1" s="1"/>
  <c r="GO161" i="1"/>
  <c r="GP161" i="1"/>
  <c r="GV161" i="1"/>
  <c r="HC161" i="1" s="1"/>
  <c r="GX161" i="1" s="1"/>
  <c r="AC162" i="1"/>
  <c r="AE162" i="1"/>
  <c r="AF162" i="1"/>
  <c r="AG162" i="1"/>
  <c r="CU162" i="1" s="1"/>
  <c r="AH162" i="1"/>
  <c r="AI162" i="1"/>
  <c r="CW162" i="1" s="1"/>
  <c r="AJ162" i="1"/>
  <c r="CX162" i="1" s="1"/>
  <c r="W162" i="1" s="1"/>
  <c r="CR162" i="1"/>
  <c r="CT162" i="1"/>
  <c r="CV162" i="1"/>
  <c r="FR162" i="1"/>
  <c r="GL162" i="1"/>
  <c r="GO162" i="1"/>
  <c r="GP162" i="1"/>
  <c r="GV162" i="1"/>
  <c r="HC162" i="1" s="1"/>
  <c r="I163" i="1"/>
  <c r="S163" i="1"/>
  <c r="CY163" i="1" s="1"/>
  <c r="X163" i="1" s="1"/>
  <c r="R252" i="5" s="1"/>
  <c r="AC163" i="1"/>
  <c r="AE163" i="1"/>
  <c r="AD163" i="1" s="1"/>
  <c r="AF163" i="1"/>
  <c r="AG163" i="1"/>
  <c r="CU163" i="1" s="1"/>
  <c r="AH163" i="1"/>
  <c r="CV163" i="1" s="1"/>
  <c r="U163" i="1" s="1"/>
  <c r="AI163" i="1"/>
  <c r="CW163" i="1" s="1"/>
  <c r="V163" i="1" s="1"/>
  <c r="AJ163" i="1"/>
  <c r="CR163" i="1"/>
  <c r="CT163" i="1"/>
  <c r="CX163" i="1"/>
  <c r="W163" i="1" s="1"/>
  <c r="CZ163" i="1"/>
  <c r="Y163" i="1" s="1"/>
  <c r="T252" i="5" s="1"/>
  <c r="FR163" i="1"/>
  <c r="GL163" i="1"/>
  <c r="GO163" i="1"/>
  <c r="GP163" i="1"/>
  <c r="GV163" i="1"/>
  <c r="HC163" i="1" s="1"/>
  <c r="GX163" i="1" s="1"/>
  <c r="C164" i="1"/>
  <c r="D164" i="1"/>
  <c r="I164" i="1"/>
  <c r="AC164" i="1"/>
  <c r="P164" i="1" s="1"/>
  <c r="AE164" i="1"/>
  <c r="AD164" i="1" s="1"/>
  <c r="AF164" i="1"/>
  <c r="S164" i="1" s="1"/>
  <c r="AG164" i="1"/>
  <c r="CU164" i="1" s="1"/>
  <c r="T164" i="1" s="1"/>
  <c r="AH164" i="1"/>
  <c r="AI164" i="1"/>
  <c r="CW164" i="1" s="1"/>
  <c r="V164" i="1" s="1"/>
  <c r="AJ164" i="1"/>
  <c r="CR164" i="1"/>
  <c r="CV164" i="1"/>
  <c r="U164" i="1" s="1"/>
  <c r="I265" i="5" s="1"/>
  <c r="CX164" i="1"/>
  <c r="W164" i="1" s="1"/>
  <c r="FR164" i="1"/>
  <c r="GL164" i="1"/>
  <c r="GO164" i="1"/>
  <c r="GP164" i="1"/>
  <c r="GV164" i="1"/>
  <c r="HC164" i="1"/>
  <c r="GX164" i="1" s="1"/>
  <c r="C165" i="1"/>
  <c r="D165" i="1"/>
  <c r="I165" i="1"/>
  <c r="S165" i="1" s="1"/>
  <c r="AC165" i="1"/>
  <c r="AE165" i="1"/>
  <c r="AD165" i="1" s="1"/>
  <c r="AF165" i="1"/>
  <c r="AG165" i="1"/>
  <c r="CU165" i="1" s="1"/>
  <c r="AH165" i="1"/>
  <c r="CV165" i="1" s="1"/>
  <c r="U165" i="1" s="1"/>
  <c r="AI165" i="1"/>
  <c r="CW165" i="1" s="1"/>
  <c r="AJ165" i="1"/>
  <c r="CR165" i="1"/>
  <c r="CT165" i="1"/>
  <c r="CX165" i="1"/>
  <c r="FR165" i="1"/>
  <c r="GL165" i="1"/>
  <c r="GO165" i="1"/>
  <c r="GP165" i="1"/>
  <c r="GV165" i="1"/>
  <c r="HC165" i="1" s="1"/>
  <c r="GX165" i="1" s="1"/>
  <c r="I166" i="1"/>
  <c r="AC166" i="1"/>
  <c r="AE166" i="1"/>
  <c r="AF166" i="1"/>
  <c r="S166" i="1" s="1"/>
  <c r="AG166" i="1"/>
  <c r="CU166" i="1" s="1"/>
  <c r="T166" i="1" s="1"/>
  <c r="AH166" i="1"/>
  <c r="AI166" i="1"/>
  <c r="CW166" i="1" s="1"/>
  <c r="V166" i="1" s="1"/>
  <c r="AJ166" i="1"/>
  <c r="CR166" i="1"/>
  <c r="CV166" i="1"/>
  <c r="U166" i="1" s="1"/>
  <c r="CX166" i="1"/>
  <c r="W166" i="1" s="1"/>
  <c r="FR166" i="1"/>
  <c r="GL166" i="1"/>
  <c r="GO166" i="1"/>
  <c r="GP166" i="1"/>
  <c r="GV166" i="1"/>
  <c r="HC166" i="1" s="1"/>
  <c r="GX166" i="1" s="1"/>
  <c r="AC167" i="1"/>
  <c r="AE167" i="1"/>
  <c r="AD167" i="1" s="1"/>
  <c r="AF167" i="1"/>
  <c r="AG167" i="1"/>
  <c r="CU167" i="1" s="1"/>
  <c r="AH167" i="1"/>
  <c r="AI167" i="1"/>
  <c r="CW167" i="1" s="1"/>
  <c r="AJ167" i="1"/>
  <c r="CX167" i="1" s="1"/>
  <c r="CR167" i="1"/>
  <c r="CT167" i="1"/>
  <c r="CV167" i="1"/>
  <c r="FR167" i="1"/>
  <c r="GL167" i="1"/>
  <c r="GO167" i="1"/>
  <c r="GP167" i="1"/>
  <c r="GV167" i="1"/>
  <c r="HC167" i="1"/>
  <c r="C168" i="1"/>
  <c r="D168" i="1"/>
  <c r="I168" i="1"/>
  <c r="AC168" i="1"/>
  <c r="P168" i="1" s="1"/>
  <c r="I271" i="5" s="1"/>
  <c r="AE168" i="1"/>
  <c r="AD168" i="1" s="1"/>
  <c r="AF168" i="1"/>
  <c r="S168" i="1" s="1"/>
  <c r="AG168" i="1"/>
  <c r="CU168" i="1" s="1"/>
  <c r="T168" i="1" s="1"/>
  <c r="AH168" i="1"/>
  <c r="AI168" i="1"/>
  <c r="CW168" i="1" s="1"/>
  <c r="V168" i="1" s="1"/>
  <c r="AJ168" i="1"/>
  <c r="CX168" i="1" s="1"/>
  <c r="W168" i="1" s="1"/>
  <c r="CR168" i="1"/>
  <c r="CV168" i="1"/>
  <c r="U168" i="1" s="1"/>
  <c r="I275" i="5" s="1"/>
  <c r="FR168" i="1"/>
  <c r="GL168" i="1"/>
  <c r="GO168" i="1"/>
  <c r="GP168" i="1"/>
  <c r="GV168" i="1"/>
  <c r="HC168" i="1" s="1"/>
  <c r="GX168" i="1" s="1"/>
  <c r="C169" i="1"/>
  <c r="D169" i="1"/>
  <c r="I169" i="1"/>
  <c r="I171" i="1" s="1"/>
  <c r="S169" i="1"/>
  <c r="AC169" i="1"/>
  <c r="AE169" i="1"/>
  <c r="AD169" i="1" s="1"/>
  <c r="AF169" i="1"/>
  <c r="AG169" i="1"/>
  <c r="CU169" i="1" s="1"/>
  <c r="AH169" i="1"/>
  <c r="CV169" i="1" s="1"/>
  <c r="U169" i="1" s="1"/>
  <c r="AI169" i="1"/>
  <c r="CW169" i="1" s="1"/>
  <c r="V169" i="1" s="1"/>
  <c r="AJ169" i="1"/>
  <c r="CR169" i="1"/>
  <c r="CT169" i="1"/>
  <c r="CX169" i="1"/>
  <c r="W169" i="1" s="1"/>
  <c r="FR169" i="1"/>
  <c r="GL169" i="1"/>
  <c r="GO169" i="1"/>
  <c r="GP169" i="1"/>
  <c r="GV169" i="1"/>
  <c r="HC169" i="1"/>
  <c r="GX169" i="1" s="1"/>
  <c r="I170" i="1"/>
  <c r="AC170" i="1"/>
  <c r="AE170" i="1"/>
  <c r="AF170" i="1"/>
  <c r="S170" i="1" s="1"/>
  <c r="AG170" i="1"/>
  <c r="CU170" i="1" s="1"/>
  <c r="AH170" i="1"/>
  <c r="CV170" i="1" s="1"/>
  <c r="U170" i="1" s="1"/>
  <c r="AI170" i="1"/>
  <c r="CW170" i="1" s="1"/>
  <c r="AJ170" i="1"/>
  <c r="CR170" i="1"/>
  <c r="CT170" i="1"/>
  <c r="CX170" i="1"/>
  <c r="W170" i="1" s="1"/>
  <c r="FR170" i="1"/>
  <c r="GL170" i="1"/>
  <c r="GO170" i="1"/>
  <c r="GP170" i="1"/>
  <c r="GV170" i="1"/>
  <c r="HC170" i="1" s="1"/>
  <c r="GX170" i="1" s="1"/>
  <c r="AC171" i="1"/>
  <c r="AE171" i="1"/>
  <c r="AD171" i="1" s="1"/>
  <c r="AF171" i="1"/>
  <c r="S171" i="1" s="1"/>
  <c r="CY171" i="1" s="1"/>
  <c r="X171" i="1" s="1"/>
  <c r="R272" i="5" s="1"/>
  <c r="AG171" i="1"/>
  <c r="CU171" i="1" s="1"/>
  <c r="AH171" i="1"/>
  <c r="AI171" i="1"/>
  <c r="CW171" i="1" s="1"/>
  <c r="AJ171" i="1"/>
  <c r="CX171" i="1" s="1"/>
  <c r="CR171" i="1"/>
  <c r="CT171" i="1"/>
  <c r="CV171" i="1"/>
  <c r="FR171" i="1"/>
  <c r="GL171" i="1"/>
  <c r="GO171" i="1"/>
  <c r="GP171" i="1"/>
  <c r="GV171" i="1"/>
  <c r="HC171" i="1" s="1"/>
  <c r="GX171" i="1" s="1"/>
  <c r="B173" i="1"/>
  <c r="B144" i="1" s="1"/>
  <c r="C173" i="1"/>
  <c r="C144" i="1" s="1"/>
  <c r="D173" i="1"/>
  <c r="D144" i="1" s="1"/>
  <c r="F173" i="1"/>
  <c r="F144" i="1" s="1"/>
  <c r="G173" i="1"/>
  <c r="BX173" i="1"/>
  <c r="BX144" i="1" s="1"/>
  <c r="CK173" i="1"/>
  <c r="BB173" i="1" s="1"/>
  <c r="CL173" i="1"/>
  <c r="CL144" i="1" s="1"/>
  <c r="CM173" i="1"/>
  <c r="CM144" i="1" s="1"/>
  <c r="FP173" i="1"/>
  <c r="FP144" i="1" s="1"/>
  <c r="GC173" i="1"/>
  <c r="GC144" i="1" s="1"/>
  <c r="GD173" i="1"/>
  <c r="GD144" i="1" s="1"/>
  <c r="GE173" i="1"/>
  <c r="GE144" i="1" s="1"/>
  <c r="B203" i="1"/>
  <c r="B22" i="1" s="1"/>
  <c r="C203" i="1"/>
  <c r="C22" i="1" s="1"/>
  <c r="D203" i="1"/>
  <c r="D22" i="1" s="1"/>
  <c r="F203" i="1"/>
  <c r="F22" i="1" s="1"/>
  <c r="G203" i="1"/>
  <c r="B235" i="1"/>
  <c r="B18" i="1" s="1"/>
  <c r="C235" i="1"/>
  <c r="C18" i="1" s="1"/>
  <c r="D235" i="1"/>
  <c r="D18" i="1" s="1"/>
  <c r="F235" i="1"/>
  <c r="F18" i="1" s="1"/>
  <c r="G235" i="1"/>
  <c r="CY161" i="1" l="1"/>
  <c r="X161" i="1" s="1"/>
  <c r="R247" i="5" s="1"/>
  <c r="K253" i="5" s="1"/>
  <c r="K249" i="5"/>
  <c r="CZ161" i="1"/>
  <c r="Y161" i="1" s="1"/>
  <c r="T247" i="5" s="1"/>
  <c r="K254" i="5" s="1"/>
  <c r="I26" i="7"/>
  <c r="D52" i="8"/>
  <c r="E252" i="5"/>
  <c r="S162" i="1"/>
  <c r="CY168" i="1"/>
  <c r="X168" i="1" s="1"/>
  <c r="Q268" i="5" s="1"/>
  <c r="I270" i="5"/>
  <c r="CY155" i="1"/>
  <c r="X155" i="1" s="1"/>
  <c r="R230" i="5" s="1"/>
  <c r="K233" i="5" s="1"/>
  <c r="K232" i="5"/>
  <c r="CZ155" i="1"/>
  <c r="Y155" i="1" s="1"/>
  <c r="T230" i="5" s="1"/>
  <c r="K234" i="5" s="1"/>
  <c r="J236" i="5" s="1"/>
  <c r="CY170" i="1"/>
  <c r="X170" i="1" s="1"/>
  <c r="Q272" i="5" s="1"/>
  <c r="CZ170" i="1"/>
  <c r="Y170" i="1" s="1"/>
  <c r="S272" i="5" s="1"/>
  <c r="CY96" i="1"/>
  <c r="X96" i="1" s="1"/>
  <c r="R145" i="5" s="1"/>
  <c r="CZ96" i="1"/>
  <c r="Y96" i="1" s="1"/>
  <c r="T145" i="5" s="1"/>
  <c r="CY166" i="1"/>
  <c r="X166" i="1" s="1"/>
  <c r="Q262" i="5" s="1"/>
  <c r="CZ166" i="1"/>
  <c r="Y166" i="1" s="1"/>
  <c r="S262" i="5" s="1"/>
  <c r="CY165" i="1"/>
  <c r="X165" i="1" s="1"/>
  <c r="R259" i="5" s="1"/>
  <c r="K261" i="5"/>
  <c r="CZ165" i="1"/>
  <c r="Y165" i="1" s="1"/>
  <c r="T259" i="5" s="1"/>
  <c r="P109" i="1"/>
  <c r="GX155" i="1"/>
  <c r="W155" i="1"/>
  <c r="BY81" i="1"/>
  <c r="AP112" i="1"/>
  <c r="F121" i="1" s="1"/>
  <c r="O15" i="7"/>
  <c r="M15" i="7"/>
  <c r="W171" i="1"/>
  <c r="W167" i="1"/>
  <c r="CY164" i="1"/>
  <c r="X164" i="1" s="1"/>
  <c r="Q259" i="5" s="1"/>
  <c r="I261" i="5"/>
  <c r="CZ164" i="1"/>
  <c r="Y164" i="1" s="1"/>
  <c r="S259" i="5" s="1"/>
  <c r="I264" i="5" s="1"/>
  <c r="CY153" i="1"/>
  <c r="X153" i="1" s="1"/>
  <c r="R219" i="5" s="1"/>
  <c r="K224" i="5" s="1"/>
  <c r="K221" i="5"/>
  <c r="CZ153" i="1"/>
  <c r="Y153" i="1" s="1"/>
  <c r="T219" i="5" s="1"/>
  <c r="K225" i="5" s="1"/>
  <c r="U171" i="1"/>
  <c r="CY169" i="1"/>
  <c r="X169" i="1" s="1"/>
  <c r="R268" i="5" s="1"/>
  <c r="K273" i="5" s="1"/>
  <c r="K270" i="5"/>
  <c r="CT168" i="1"/>
  <c r="P167" i="1"/>
  <c r="T155" i="1"/>
  <c r="T170" i="1"/>
  <c r="T153" i="1"/>
  <c r="CY151" i="1"/>
  <c r="X151" i="1" s="1"/>
  <c r="R211" i="5" s="1"/>
  <c r="K214" i="5" s="1"/>
  <c r="K213" i="5"/>
  <c r="CZ151" i="1"/>
  <c r="Y151" i="1" s="1"/>
  <c r="T211" i="5" s="1"/>
  <c r="K215" i="5" s="1"/>
  <c r="G81" i="1"/>
  <c r="A192" i="5"/>
  <c r="GK108" i="1"/>
  <c r="K182" i="5"/>
  <c r="V178" i="5"/>
  <c r="GX107" i="1"/>
  <c r="I17" i="7"/>
  <c r="D14" i="6" s="1"/>
  <c r="E152" i="5"/>
  <c r="D36" i="8"/>
  <c r="I15" i="7"/>
  <c r="I16" i="7"/>
  <c r="D16" i="6" s="1"/>
  <c r="V96" i="1"/>
  <c r="GX94" i="1"/>
  <c r="W94" i="1"/>
  <c r="CC112" i="1"/>
  <c r="CY84" i="1"/>
  <c r="X84" i="1" s="1"/>
  <c r="R107" i="5" s="1"/>
  <c r="K110" i="5" s="1"/>
  <c r="P113" i="5" s="1"/>
  <c r="K109" i="5"/>
  <c r="CS45" i="1"/>
  <c r="AD45" i="1"/>
  <c r="AB45" i="1" s="1"/>
  <c r="D22" i="8"/>
  <c r="C67" i="5"/>
  <c r="E66" i="5"/>
  <c r="AD35" i="1"/>
  <c r="CS35" i="1"/>
  <c r="CQ33" i="1"/>
  <c r="P33" i="1"/>
  <c r="FU49" i="1"/>
  <c r="FU26" i="1" s="1"/>
  <c r="O19" i="7"/>
  <c r="M19" i="7"/>
  <c r="G18" i="1"/>
  <c r="A3" i="6"/>
  <c r="T169" i="1"/>
  <c r="K27" i="7"/>
  <c r="N27" i="7"/>
  <c r="T163" i="1"/>
  <c r="GX162" i="1"/>
  <c r="V161" i="1"/>
  <c r="T160" i="1"/>
  <c r="CR158" i="1"/>
  <c r="AB158" i="1"/>
  <c r="CR157" i="1"/>
  <c r="AB157" i="1"/>
  <c r="T156" i="1"/>
  <c r="Q155" i="1"/>
  <c r="CY149" i="1"/>
  <c r="X149" i="1" s="1"/>
  <c r="R200" i="5" s="1"/>
  <c r="K205" i="5" s="1"/>
  <c r="K202" i="5"/>
  <c r="CZ149" i="1"/>
  <c r="Y149" i="1" s="1"/>
  <c r="T200" i="5" s="1"/>
  <c r="K206" i="5" s="1"/>
  <c r="GX148" i="1"/>
  <c r="T148" i="1"/>
  <c r="AD110" i="1"/>
  <c r="CR110" i="1"/>
  <c r="AB109" i="1"/>
  <c r="T107" i="1"/>
  <c r="Q105" i="1"/>
  <c r="D40" i="8"/>
  <c r="I21" i="7"/>
  <c r="D15" i="6" s="1"/>
  <c r="E171" i="5"/>
  <c r="I19" i="7"/>
  <c r="C165" i="5"/>
  <c r="E164" i="5"/>
  <c r="D38" i="8"/>
  <c r="I103" i="1"/>
  <c r="CY100" i="1"/>
  <c r="X100" i="1" s="1"/>
  <c r="R157" i="5" s="1"/>
  <c r="CZ100" i="1"/>
  <c r="Y100" i="1" s="1"/>
  <c r="T157" i="5" s="1"/>
  <c r="K159" i="5" s="1"/>
  <c r="U95" i="1"/>
  <c r="S95" i="1"/>
  <c r="I88" i="1"/>
  <c r="CX40" i="3" s="1"/>
  <c r="Q85" i="1"/>
  <c r="I117" i="5" s="1"/>
  <c r="AB46" i="1"/>
  <c r="T33" i="1"/>
  <c r="GK30" i="1"/>
  <c r="I44" i="5"/>
  <c r="U40" i="5"/>
  <c r="I47" i="5" s="1"/>
  <c r="CC49" i="1"/>
  <c r="CC26" i="1" s="1"/>
  <c r="T22" i="7"/>
  <c r="R22" i="7"/>
  <c r="O23" i="7"/>
  <c r="M23" i="7"/>
  <c r="M13" i="7"/>
  <c r="O13" i="7"/>
  <c r="G144" i="1"/>
  <c r="A279" i="5"/>
  <c r="T171" i="1"/>
  <c r="D56" i="8"/>
  <c r="I29" i="7"/>
  <c r="E272" i="5"/>
  <c r="CT166" i="1"/>
  <c r="W165" i="1"/>
  <c r="K26" i="7"/>
  <c r="M26" i="7" s="1"/>
  <c r="N26" i="7"/>
  <c r="CY160" i="1"/>
  <c r="X160" i="1" s="1"/>
  <c r="Q247" i="5" s="1"/>
  <c r="I249" i="5"/>
  <c r="GK157" i="1"/>
  <c r="V238" i="5"/>
  <c r="U155" i="1"/>
  <c r="N21" i="7"/>
  <c r="K21" i="7"/>
  <c r="M21" i="7" s="1"/>
  <c r="CQ105" i="1"/>
  <c r="P105" i="1"/>
  <c r="K20" i="7"/>
  <c r="N20" i="7"/>
  <c r="E145" i="5"/>
  <c r="I14" i="7"/>
  <c r="D13" i="6" s="1"/>
  <c r="D35" i="8"/>
  <c r="U94" i="1"/>
  <c r="CY86" i="1"/>
  <c r="X86" i="1" s="1"/>
  <c r="R115" i="5" s="1"/>
  <c r="CZ86" i="1"/>
  <c r="Y86" i="1" s="1"/>
  <c r="T115" i="5" s="1"/>
  <c r="G22" i="1"/>
  <c r="A283" i="5"/>
  <c r="T165" i="1"/>
  <c r="CX111" i="3"/>
  <c r="D49" i="8"/>
  <c r="E238" i="5"/>
  <c r="C239" i="5"/>
  <c r="CT155" i="1"/>
  <c r="T162" i="1"/>
  <c r="GK147" i="1"/>
  <c r="V197" i="5"/>
  <c r="U99" i="1"/>
  <c r="S99" i="1"/>
  <c r="U97" i="1"/>
  <c r="I161" i="5" s="1"/>
  <c r="CY93" i="1"/>
  <c r="X93" i="1" s="1"/>
  <c r="Q139" i="5" s="1"/>
  <c r="I141" i="5"/>
  <c r="CZ93" i="1"/>
  <c r="Y93" i="1" s="1"/>
  <c r="S139" i="5" s="1"/>
  <c r="CX39" i="3"/>
  <c r="D31" i="8"/>
  <c r="E122" i="5"/>
  <c r="C123" i="5"/>
  <c r="S87" i="1"/>
  <c r="G26" i="1"/>
  <c r="A102" i="5"/>
  <c r="K11" i="7"/>
  <c r="N11" i="7"/>
  <c r="CQ46" i="1"/>
  <c r="V171" i="1"/>
  <c r="K29" i="7"/>
  <c r="N29" i="7"/>
  <c r="I28" i="7"/>
  <c r="C269" i="5"/>
  <c r="E268" i="5"/>
  <c r="D55" i="8"/>
  <c r="I27" i="7"/>
  <c r="D54" i="8"/>
  <c r="E262" i="5"/>
  <c r="P165" i="1"/>
  <c r="D53" i="8"/>
  <c r="C260" i="5"/>
  <c r="E259" i="5"/>
  <c r="T161" i="1"/>
  <c r="W158" i="1"/>
  <c r="Q156" i="1"/>
  <c r="I240" i="5" s="1"/>
  <c r="V155" i="1"/>
  <c r="CX101" i="3"/>
  <c r="D46" i="8"/>
  <c r="E211" i="5"/>
  <c r="C212" i="5"/>
  <c r="S150" i="1"/>
  <c r="I152" i="1"/>
  <c r="GX152" i="1" s="1"/>
  <c r="R148" i="1"/>
  <c r="CS148" i="1"/>
  <c r="AD148" i="1"/>
  <c r="BX81" i="1"/>
  <c r="CG112" i="1"/>
  <c r="R110" i="1"/>
  <c r="R107" i="1"/>
  <c r="GX106" i="1"/>
  <c r="T106" i="1"/>
  <c r="GX105" i="1"/>
  <c r="T105" i="1"/>
  <c r="S105" i="1"/>
  <c r="CY105" i="1" s="1"/>
  <c r="X105" i="1" s="1"/>
  <c r="Q171" i="5" s="1"/>
  <c r="U101" i="1"/>
  <c r="I175" i="5" s="1"/>
  <c r="S101" i="1"/>
  <c r="CT99" i="1"/>
  <c r="Q99" i="1"/>
  <c r="S18" i="7"/>
  <c r="T18" i="7" s="1"/>
  <c r="P18" i="7"/>
  <c r="GX96" i="1"/>
  <c r="U96" i="1"/>
  <c r="W95" i="1"/>
  <c r="AB91" i="1"/>
  <c r="W87" i="1"/>
  <c r="FQ112" i="1"/>
  <c r="FQ81" i="1" s="1"/>
  <c r="U86" i="1"/>
  <c r="CX37" i="3"/>
  <c r="D30" i="8"/>
  <c r="C116" i="5"/>
  <c r="E115" i="5"/>
  <c r="S85" i="1"/>
  <c r="I89" i="1"/>
  <c r="S89" i="1" s="1"/>
  <c r="CY83" i="1"/>
  <c r="X83" i="1" s="1"/>
  <c r="Q107" i="5" s="1"/>
  <c r="I110" i="5" s="1"/>
  <c r="I109" i="5"/>
  <c r="Q46" i="1"/>
  <c r="I11" i="7"/>
  <c r="D17" i="6" s="1"/>
  <c r="D27" i="8"/>
  <c r="E94" i="5"/>
  <c r="GK44" i="1"/>
  <c r="I92" i="5"/>
  <c r="U88" i="5"/>
  <c r="AB43" i="1"/>
  <c r="GX36" i="1"/>
  <c r="CS36" i="1"/>
  <c r="S36" i="1"/>
  <c r="CT36" i="1"/>
  <c r="I35" i="1"/>
  <c r="GX35" i="1" s="1"/>
  <c r="FR49" i="1"/>
  <c r="FR26" i="1" s="1"/>
  <c r="T15" i="7"/>
  <c r="T16" i="7"/>
  <c r="R16" i="7"/>
  <c r="T10" i="7"/>
  <c r="R10" i="7"/>
  <c r="CT164" i="1"/>
  <c r="GK106" i="1"/>
  <c r="V171" i="5"/>
  <c r="CY98" i="1"/>
  <c r="X98" i="1" s="1"/>
  <c r="R152" i="5" s="1"/>
  <c r="K158" i="5" s="1"/>
  <c r="K153" i="5"/>
  <c r="CS90" i="1"/>
  <c r="AD90" i="1"/>
  <c r="CT89" i="1"/>
  <c r="T19" i="7"/>
  <c r="R19" i="7"/>
  <c r="GX167" i="1"/>
  <c r="Q166" i="1"/>
  <c r="S27" i="7"/>
  <c r="P27" i="7"/>
  <c r="R27" i="7" s="1"/>
  <c r="V162" i="1"/>
  <c r="D51" i="8"/>
  <c r="C248" i="5"/>
  <c r="E247" i="5"/>
  <c r="CX113" i="3"/>
  <c r="D50" i="8"/>
  <c r="E243" i="5"/>
  <c r="E200" i="5"/>
  <c r="D45" i="8"/>
  <c r="C201" i="5"/>
  <c r="C179" i="5"/>
  <c r="E178" i="5"/>
  <c r="I22" i="7"/>
  <c r="I23" i="7"/>
  <c r="D41" i="8"/>
  <c r="I109" i="1"/>
  <c r="W109" i="1" s="1"/>
  <c r="GK105" i="1"/>
  <c r="U171" i="5"/>
  <c r="D37" i="8"/>
  <c r="E157" i="5"/>
  <c r="I18" i="7"/>
  <c r="P171" i="1"/>
  <c r="Q170" i="1"/>
  <c r="S29" i="7"/>
  <c r="P29" i="7"/>
  <c r="R29" i="7" s="1"/>
  <c r="U167" i="1"/>
  <c r="I167" i="1"/>
  <c r="S167" i="1" s="1"/>
  <c r="U162" i="1"/>
  <c r="CC173" i="1"/>
  <c r="Q153" i="1"/>
  <c r="K222" i="5" s="1"/>
  <c r="N24" i="7"/>
  <c r="K24" i="7"/>
  <c r="CQ109" i="1"/>
  <c r="T103" i="1"/>
  <c r="S97" i="1"/>
  <c r="T96" i="1"/>
  <c r="Q95" i="1"/>
  <c r="P14" i="7"/>
  <c r="R14" i="7" s="1"/>
  <c r="S14" i="7"/>
  <c r="CT93" i="1"/>
  <c r="P9" i="7"/>
  <c r="R9" i="7" s="1"/>
  <c r="S9" i="7"/>
  <c r="T9" i="7" s="1"/>
  <c r="CR42" i="1"/>
  <c r="CS42" i="1"/>
  <c r="GK33" i="1"/>
  <c r="K54" i="5"/>
  <c r="V51" i="5"/>
  <c r="K55" i="5" s="1"/>
  <c r="T28" i="7"/>
  <c r="R28" i="7"/>
  <c r="V170" i="1"/>
  <c r="P169" i="1"/>
  <c r="K271" i="5" s="1"/>
  <c r="V165" i="1"/>
  <c r="P163" i="1"/>
  <c r="Q162" i="1"/>
  <c r="S26" i="7"/>
  <c r="T26" i="7" s="1"/>
  <c r="P26" i="7"/>
  <c r="R26" i="7" s="1"/>
  <c r="FU173" i="1"/>
  <c r="P160" i="1"/>
  <c r="V158" i="1"/>
  <c r="V153" i="1"/>
  <c r="CT146" i="1"/>
  <c r="S146" i="1"/>
  <c r="T109" i="1"/>
  <c r="W107" i="1"/>
  <c r="AB106" i="1"/>
  <c r="GX103" i="1"/>
  <c r="U103" i="1"/>
  <c r="CY102" i="1"/>
  <c r="X102" i="1" s="1"/>
  <c r="R164" i="5" s="1"/>
  <c r="K166" i="5"/>
  <c r="CZ102" i="1"/>
  <c r="Y102" i="1" s="1"/>
  <c r="T164" i="5" s="1"/>
  <c r="W99" i="1"/>
  <c r="W97" i="1"/>
  <c r="V95" i="1"/>
  <c r="V94" i="1"/>
  <c r="S94" i="1"/>
  <c r="CS91" i="1"/>
  <c r="AD91" i="1"/>
  <c r="CR90" i="1"/>
  <c r="AB90" i="1"/>
  <c r="GX89" i="1"/>
  <c r="U89" i="1"/>
  <c r="T89" i="1"/>
  <c r="GX87" i="1"/>
  <c r="U87" i="1"/>
  <c r="I127" i="5" s="1"/>
  <c r="T87" i="1"/>
  <c r="W86" i="1"/>
  <c r="U58" i="5"/>
  <c r="GK34" i="1"/>
  <c r="O28" i="7"/>
  <c r="M28" i="7"/>
  <c r="O17" i="7"/>
  <c r="F14" i="6" s="1"/>
  <c r="M17" i="7"/>
  <c r="R15" i="7"/>
  <c r="V150" i="1"/>
  <c r="W148" i="1"/>
  <c r="BB112" i="1"/>
  <c r="AB110" i="1"/>
  <c r="U109" i="1"/>
  <c r="FR112" i="1"/>
  <c r="FY112" i="1" s="1"/>
  <c r="FY81" i="1" s="1"/>
  <c r="K18" i="7"/>
  <c r="M18" i="7" s="1"/>
  <c r="N18" i="7"/>
  <c r="N14" i="7"/>
  <c r="K14" i="7"/>
  <c r="T94" i="1"/>
  <c r="Q89" i="1"/>
  <c r="I132" i="5" s="1"/>
  <c r="V86" i="1"/>
  <c r="CX35" i="3"/>
  <c r="D29" i="8"/>
  <c r="C108" i="5"/>
  <c r="E107" i="5"/>
  <c r="U46" i="1"/>
  <c r="Q43" i="1"/>
  <c r="N9" i="7"/>
  <c r="K9" i="7"/>
  <c r="M9" i="7" s="1"/>
  <c r="Q41" i="1"/>
  <c r="K78" i="5" s="1"/>
  <c r="W34" i="1"/>
  <c r="D21" i="8"/>
  <c r="C59" i="5"/>
  <c r="E58" i="5"/>
  <c r="P32" i="1"/>
  <c r="D20" i="8"/>
  <c r="C52" i="5"/>
  <c r="E51" i="5"/>
  <c r="GK31" i="1"/>
  <c r="V40" i="5"/>
  <c r="K47" i="5" s="1"/>
  <c r="K44" i="5"/>
  <c r="O22" i="7"/>
  <c r="M22" i="7"/>
  <c r="O16" i="7"/>
  <c r="F16" i="6" s="1"/>
  <c r="O10" i="7"/>
  <c r="M10" i="7"/>
  <c r="T8" i="7"/>
  <c r="R8" i="7"/>
  <c r="M16" i="7"/>
  <c r="T150" i="1"/>
  <c r="W110" i="1"/>
  <c r="S109" i="1"/>
  <c r="V108" i="1"/>
  <c r="V107" i="1"/>
  <c r="V106" i="1"/>
  <c r="BZ112" i="1"/>
  <c r="CI112" i="1" s="1"/>
  <c r="P21" i="7"/>
  <c r="R21" i="7" s="1"/>
  <c r="S21" i="7"/>
  <c r="T21" i="7" s="1"/>
  <c r="V93" i="1"/>
  <c r="V89" i="1"/>
  <c r="T88" i="1"/>
  <c r="T86" i="1"/>
  <c r="P44" i="1"/>
  <c r="I93" i="5" s="1"/>
  <c r="D26" i="8"/>
  <c r="I10" i="7"/>
  <c r="C89" i="5"/>
  <c r="E88" i="5"/>
  <c r="Q42" i="1"/>
  <c r="D25" i="8"/>
  <c r="I9" i="7"/>
  <c r="D18" i="6" s="1"/>
  <c r="E81" i="5"/>
  <c r="P30" i="1"/>
  <c r="D19" i="8"/>
  <c r="E40" i="5"/>
  <c r="C41" i="5"/>
  <c r="T23" i="7"/>
  <c r="R23" i="7"/>
  <c r="T13" i="7"/>
  <c r="R13" i="7"/>
  <c r="M8" i="7"/>
  <c r="O8" i="7"/>
  <c r="F12" i="6" s="1"/>
  <c r="V151" i="1"/>
  <c r="V149" i="1"/>
  <c r="V110" i="1"/>
  <c r="S24" i="7"/>
  <c r="P24" i="7"/>
  <c r="GX108" i="1"/>
  <c r="U108" i="1"/>
  <c r="U107" i="1"/>
  <c r="I188" i="5" s="1"/>
  <c r="U106" i="1"/>
  <c r="W105" i="1"/>
  <c r="AD105" i="1"/>
  <c r="AB105" i="1" s="1"/>
  <c r="CR103" i="1"/>
  <c r="S20" i="7"/>
  <c r="P20" i="7"/>
  <c r="GX101" i="1"/>
  <c r="W101" i="1"/>
  <c r="T101" i="1"/>
  <c r="GX99" i="1"/>
  <c r="T99" i="1"/>
  <c r="GX97" i="1"/>
  <c r="T97" i="1"/>
  <c r="Q96" i="1"/>
  <c r="GX95" i="1"/>
  <c r="T95" i="1"/>
  <c r="P94" i="1"/>
  <c r="K144" i="5" s="1"/>
  <c r="D34" i="8"/>
  <c r="I13" i="7"/>
  <c r="C140" i="5"/>
  <c r="E139" i="5"/>
  <c r="V87" i="1"/>
  <c r="V85" i="1"/>
  <c r="S11" i="7"/>
  <c r="P11" i="7"/>
  <c r="P45" i="1"/>
  <c r="K93" i="5" s="1"/>
  <c r="D24" i="8"/>
  <c r="I8" i="7"/>
  <c r="D12" i="6" s="1"/>
  <c r="E75" i="5"/>
  <c r="C76" i="5"/>
  <c r="T36" i="1"/>
  <c r="W35" i="1"/>
  <c r="AB35" i="1"/>
  <c r="AB32" i="1"/>
  <c r="T17" i="7"/>
  <c r="R17" i="7"/>
  <c r="AT173" i="1"/>
  <c r="CC144" i="1"/>
  <c r="BB144" i="1"/>
  <c r="F186" i="1"/>
  <c r="CP163" i="1"/>
  <c r="O163" i="1" s="1"/>
  <c r="K252" i="5" s="1"/>
  <c r="FU144" i="1"/>
  <c r="EL173" i="1"/>
  <c r="EU173" i="1"/>
  <c r="FY173" i="1"/>
  <c r="ET173" i="1"/>
  <c r="EH173" i="1"/>
  <c r="CI173" i="1"/>
  <c r="BD173" i="1"/>
  <c r="CS171" i="1"/>
  <c r="AB171" i="1"/>
  <c r="R171" i="1"/>
  <c r="CQ170" i="1"/>
  <c r="AD170" i="1"/>
  <c r="AB170" i="1" s="1"/>
  <c r="P170" i="1"/>
  <c r="CP170" i="1" s="1"/>
  <c r="O170" i="1" s="1"/>
  <c r="I272" i="5" s="1"/>
  <c r="CS169" i="1"/>
  <c r="AB169" i="1"/>
  <c r="R169" i="1"/>
  <c r="CX130" i="3"/>
  <c r="CX132" i="3"/>
  <c r="CX131" i="3"/>
  <c r="CS168" i="1"/>
  <c r="AB168" i="1"/>
  <c r="R168" i="1"/>
  <c r="CX129" i="3"/>
  <c r="CX128" i="3"/>
  <c r="CX127" i="3"/>
  <c r="CS167" i="1"/>
  <c r="AB167" i="1"/>
  <c r="R167" i="1"/>
  <c r="CQ166" i="1"/>
  <c r="AD166" i="1"/>
  <c r="AB166" i="1" s="1"/>
  <c r="P166" i="1"/>
  <c r="CP166" i="1" s="1"/>
  <c r="O166" i="1" s="1"/>
  <c r="I262" i="5" s="1"/>
  <c r="CS165" i="1"/>
  <c r="AB165" i="1"/>
  <c r="R165" i="1"/>
  <c r="CX126" i="3"/>
  <c r="CX125" i="3"/>
  <c r="CS164" i="1"/>
  <c r="AB164" i="1"/>
  <c r="R164" i="1"/>
  <c r="CX124" i="3"/>
  <c r="CX123" i="3"/>
  <c r="CS163" i="1"/>
  <c r="AB163" i="1"/>
  <c r="R163" i="1"/>
  <c r="CQ162" i="1"/>
  <c r="AD162" i="1"/>
  <c r="AB162" i="1" s="1"/>
  <c r="P162" i="1"/>
  <c r="CP162" i="1" s="1"/>
  <c r="O162" i="1" s="1"/>
  <c r="I252" i="5" s="1"/>
  <c r="CS161" i="1"/>
  <c r="AB161" i="1"/>
  <c r="R161" i="1"/>
  <c r="CX122" i="3"/>
  <c r="CX121" i="3"/>
  <c r="CX120" i="3"/>
  <c r="CX119" i="3"/>
  <c r="CS160" i="1"/>
  <c r="AB160" i="1"/>
  <c r="R160" i="1"/>
  <c r="CX118" i="3"/>
  <c r="CX117" i="3"/>
  <c r="CX116" i="3"/>
  <c r="CX115" i="3"/>
  <c r="CS159" i="1"/>
  <c r="AB159" i="1"/>
  <c r="I159" i="1"/>
  <c r="V159" i="1" s="1"/>
  <c r="Q158" i="1"/>
  <c r="I244" i="5" s="1"/>
  <c r="Q157" i="1"/>
  <c r="CQ156" i="1"/>
  <c r="AD156" i="1"/>
  <c r="AB156" i="1" s="1"/>
  <c r="P156" i="1"/>
  <c r="CP156" i="1" s="1"/>
  <c r="O156" i="1" s="1"/>
  <c r="CQ155" i="1"/>
  <c r="AD155" i="1"/>
  <c r="AB155" i="1" s="1"/>
  <c r="P155" i="1"/>
  <c r="CQ154" i="1"/>
  <c r="AD154" i="1"/>
  <c r="AB154" i="1" s="1"/>
  <c r="CQ153" i="1"/>
  <c r="AD153" i="1"/>
  <c r="AB153" i="1" s="1"/>
  <c r="P153" i="1"/>
  <c r="CP153" i="1" s="1"/>
  <c r="O153" i="1" s="1"/>
  <c r="CQ152" i="1"/>
  <c r="AD152" i="1"/>
  <c r="AB152" i="1" s="1"/>
  <c r="CQ151" i="1"/>
  <c r="AD151" i="1"/>
  <c r="AB151" i="1" s="1"/>
  <c r="P151" i="1"/>
  <c r="CP151" i="1" s="1"/>
  <c r="O151" i="1" s="1"/>
  <c r="CQ150" i="1"/>
  <c r="AD150" i="1"/>
  <c r="AB150" i="1" s="1"/>
  <c r="P150" i="1"/>
  <c r="CQ149" i="1"/>
  <c r="AD149" i="1"/>
  <c r="AB149" i="1" s="1"/>
  <c r="P149" i="1"/>
  <c r="S148" i="1"/>
  <c r="I202" i="5" s="1"/>
  <c r="CT148" i="1"/>
  <c r="AB148" i="1"/>
  <c r="CR146" i="1"/>
  <c r="P146" i="1"/>
  <c r="CQ146" i="1"/>
  <c r="CK144" i="1"/>
  <c r="ET112" i="1"/>
  <c r="EL112" i="1"/>
  <c r="BD112" i="1"/>
  <c r="AQ112" i="1"/>
  <c r="BC173" i="1"/>
  <c r="AQ173" i="1"/>
  <c r="CZ169" i="1"/>
  <c r="Y169" i="1" s="1"/>
  <c r="T268" i="5" s="1"/>
  <c r="Q169" i="1"/>
  <c r="CP169" i="1" s="1"/>
  <c r="O169" i="1" s="1"/>
  <c r="Q168" i="1"/>
  <c r="CP168" i="1" s="1"/>
  <c r="O168" i="1" s="1"/>
  <c r="Q167" i="1"/>
  <c r="Q165" i="1"/>
  <c r="CP165" i="1" s="1"/>
  <c r="O165" i="1" s="1"/>
  <c r="Q164" i="1"/>
  <c r="CP164" i="1" s="1"/>
  <c r="O164" i="1" s="1"/>
  <c r="Q163" i="1"/>
  <c r="Q161" i="1"/>
  <c r="Q160" i="1"/>
  <c r="P158" i="1"/>
  <c r="CX98" i="3"/>
  <c r="CX100" i="3"/>
  <c r="CX99" i="3"/>
  <c r="BB81" i="1"/>
  <c r="F125" i="1"/>
  <c r="EG173" i="1"/>
  <c r="CZ171" i="1"/>
  <c r="Y171" i="1" s="1"/>
  <c r="T272" i="5" s="1"/>
  <c r="K274" i="5" s="1"/>
  <c r="Q171" i="1"/>
  <c r="CP171" i="1" s="1"/>
  <c r="O171" i="1" s="1"/>
  <c r="K272" i="5" s="1"/>
  <c r="CZ168" i="1"/>
  <c r="Y168" i="1" s="1"/>
  <c r="S268" i="5" s="1"/>
  <c r="GA173" i="1"/>
  <c r="EV173" i="1"/>
  <c r="CG173" i="1"/>
  <c r="AP173" i="1"/>
  <c r="CQ171" i="1"/>
  <c r="CS170" i="1"/>
  <c r="R170" i="1"/>
  <c r="CQ169" i="1"/>
  <c r="CQ168" i="1"/>
  <c r="CQ167" i="1"/>
  <c r="CS166" i="1"/>
  <c r="R166" i="1"/>
  <c r="CQ165" i="1"/>
  <c r="CQ164" i="1"/>
  <c r="CQ163" i="1"/>
  <c r="CS162" i="1"/>
  <c r="R162" i="1"/>
  <c r="CQ161" i="1"/>
  <c r="CQ160" i="1"/>
  <c r="CQ159" i="1"/>
  <c r="CT158" i="1"/>
  <c r="S158" i="1"/>
  <c r="CT157" i="1"/>
  <c r="S157" i="1"/>
  <c r="CS156" i="1"/>
  <c r="R156" i="1"/>
  <c r="U238" i="5" s="1"/>
  <c r="CS155" i="1"/>
  <c r="R155" i="1"/>
  <c r="CS154" i="1"/>
  <c r="CS153" i="1"/>
  <c r="R153" i="1"/>
  <c r="CX106" i="3"/>
  <c r="CX108" i="3"/>
  <c r="CX107" i="3"/>
  <c r="CS152" i="1"/>
  <c r="CX103" i="3"/>
  <c r="CS151" i="1"/>
  <c r="R151" i="1"/>
  <c r="CS150" i="1"/>
  <c r="R150" i="1"/>
  <c r="CS149" i="1"/>
  <c r="R149" i="1"/>
  <c r="CX97" i="3"/>
  <c r="CX96" i="3"/>
  <c r="CX95" i="3"/>
  <c r="Q148" i="1"/>
  <c r="S147" i="1"/>
  <c r="CP147" i="1" s="1"/>
  <c r="O147" i="1" s="1"/>
  <c r="CT147" i="1"/>
  <c r="CY109" i="1"/>
  <c r="X109" i="1" s="1"/>
  <c r="Q184" i="5" s="1"/>
  <c r="CZ109" i="1"/>
  <c r="Y109" i="1" s="1"/>
  <c r="EI173" i="1"/>
  <c r="AO173" i="1"/>
  <c r="R146" i="1"/>
  <c r="U197" i="5" s="1"/>
  <c r="CS146" i="1"/>
  <c r="AD146" i="1"/>
  <c r="AB146" i="1" s="1"/>
  <c r="EV112" i="1"/>
  <c r="CY104" i="1"/>
  <c r="X104" i="1" s="1"/>
  <c r="R170" i="5" s="1"/>
  <c r="CZ104" i="1"/>
  <c r="Y104" i="1" s="1"/>
  <c r="T170" i="5" s="1"/>
  <c r="EU112" i="1"/>
  <c r="AO112" i="1"/>
  <c r="CT110" i="1"/>
  <c r="S110" i="1"/>
  <c r="CT108" i="1"/>
  <c r="S108" i="1"/>
  <c r="K180" i="5" s="1"/>
  <c r="CT107" i="1"/>
  <c r="S107" i="1"/>
  <c r="I180" i="5" s="1"/>
  <c r="CT106" i="1"/>
  <c r="S106" i="1"/>
  <c r="CT104" i="1"/>
  <c r="P104" i="1"/>
  <c r="CP104" i="1" s="1"/>
  <c r="O104" i="1" s="1"/>
  <c r="K170" i="5" s="1"/>
  <c r="AB104" i="1"/>
  <c r="P103" i="1"/>
  <c r="CQ103" i="1"/>
  <c r="P102" i="1"/>
  <c r="CQ102" i="1"/>
  <c r="CR100" i="1"/>
  <c r="P100" i="1"/>
  <c r="CP100" i="1" s="1"/>
  <c r="O100" i="1" s="1"/>
  <c r="K157" i="5" s="1"/>
  <c r="CQ100" i="1"/>
  <c r="CR99" i="1"/>
  <c r="P99" i="1"/>
  <c r="CP99" i="1" s="1"/>
  <c r="O99" i="1" s="1"/>
  <c r="I157" i="5" s="1"/>
  <c r="CQ99" i="1"/>
  <c r="CR98" i="1"/>
  <c r="P98" i="1"/>
  <c r="CQ98" i="1"/>
  <c r="CR96" i="1"/>
  <c r="P96" i="1"/>
  <c r="CQ96" i="1"/>
  <c r="CR95" i="1"/>
  <c r="P95" i="1"/>
  <c r="CP95" i="1" s="1"/>
  <c r="O95" i="1" s="1"/>
  <c r="I145" i="5" s="1"/>
  <c r="CQ95" i="1"/>
  <c r="CX90" i="3"/>
  <c r="CX94" i="3"/>
  <c r="CX93" i="3"/>
  <c r="CX92" i="3"/>
  <c r="CX91" i="3"/>
  <c r="CX86" i="3"/>
  <c r="CX85" i="3"/>
  <c r="CX89" i="3"/>
  <c r="CX88" i="3"/>
  <c r="CX87" i="3"/>
  <c r="AD101" i="1"/>
  <c r="AB101" i="1" s="1"/>
  <c r="R101" i="1"/>
  <c r="CS101" i="1"/>
  <c r="AD97" i="1"/>
  <c r="AB97" i="1" s="1"/>
  <c r="R97" i="1"/>
  <c r="CS97" i="1"/>
  <c r="EG112" i="1"/>
  <c r="BC112" i="1"/>
  <c r="Q110" i="1"/>
  <c r="CP110" i="1" s="1"/>
  <c r="O110" i="1" s="1"/>
  <c r="K184" i="5" s="1"/>
  <c r="CT109" i="1"/>
  <c r="Q108" i="1"/>
  <c r="K181" i="5" s="1"/>
  <c r="Q107" i="1"/>
  <c r="I181" i="5" s="1"/>
  <c r="Q106" i="1"/>
  <c r="CP106" i="1" s="1"/>
  <c r="O106" i="1" s="1"/>
  <c r="K171" i="5" s="1"/>
  <c r="CT105" i="1"/>
  <c r="CR101" i="1"/>
  <c r="P101" i="1"/>
  <c r="I169" i="5" s="1"/>
  <c r="CQ101" i="1"/>
  <c r="CR97" i="1"/>
  <c r="P97" i="1"/>
  <c r="I156" i="5" s="1"/>
  <c r="CQ97" i="1"/>
  <c r="P108" i="1"/>
  <c r="P107" i="1"/>
  <c r="I183" i="5" s="1"/>
  <c r="R103" i="1"/>
  <c r="CS103" i="1"/>
  <c r="AD103" i="1"/>
  <c r="AB103" i="1" s="1"/>
  <c r="AD102" i="1"/>
  <c r="AB102" i="1" s="1"/>
  <c r="R102" i="1"/>
  <c r="CS102" i="1"/>
  <c r="Q101" i="1"/>
  <c r="I167" i="5" s="1"/>
  <c r="AD100" i="1"/>
  <c r="AB100" i="1" s="1"/>
  <c r="R100" i="1"/>
  <c r="CS100" i="1"/>
  <c r="R99" i="1"/>
  <c r="CS99" i="1"/>
  <c r="AD99" i="1"/>
  <c r="AB99" i="1" s="1"/>
  <c r="AD98" i="1"/>
  <c r="AB98" i="1" s="1"/>
  <c r="R98" i="1"/>
  <c r="CS98" i="1"/>
  <c r="Q97" i="1"/>
  <c r="I154" i="5" s="1"/>
  <c r="AD96" i="1"/>
  <c r="AB96" i="1" s="1"/>
  <c r="R96" i="1"/>
  <c r="CS96" i="1"/>
  <c r="R95" i="1"/>
  <c r="CS95" i="1"/>
  <c r="AD95" i="1"/>
  <c r="AB95" i="1" s="1"/>
  <c r="CX82" i="3"/>
  <c r="CX81" i="3"/>
  <c r="CX80" i="3"/>
  <c r="CX84" i="3"/>
  <c r="CX79" i="3"/>
  <c r="CX83" i="3"/>
  <c r="CX74" i="3"/>
  <c r="CX78" i="3"/>
  <c r="CX73" i="3"/>
  <c r="CX77" i="3"/>
  <c r="CX76" i="3"/>
  <c r="CX75" i="3"/>
  <c r="CX70" i="3"/>
  <c r="CX69" i="3"/>
  <c r="CX68" i="3"/>
  <c r="CX72" i="3"/>
  <c r="CX67" i="3"/>
  <c r="CX71" i="3"/>
  <c r="CX62" i="3"/>
  <c r="CX66" i="3"/>
  <c r="CX61" i="3"/>
  <c r="CX65" i="3"/>
  <c r="CX64" i="3"/>
  <c r="CX63" i="3"/>
  <c r="CS94" i="1"/>
  <c r="AB94" i="1"/>
  <c r="R94" i="1"/>
  <c r="CX54" i="3"/>
  <c r="CX58" i="3"/>
  <c r="CX53" i="3"/>
  <c r="CX57" i="3"/>
  <c r="CX56" i="3"/>
  <c r="CX60" i="3"/>
  <c r="CX55" i="3"/>
  <c r="CX59" i="3"/>
  <c r="CS93" i="1"/>
  <c r="AB93" i="1"/>
  <c r="R93" i="1"/>
  <c r="CX46" i="3"/>
  <c r="CX50" i="3"/>
  <c r="CX45" i="3"/>
  <c r="CX49" i="3"/>
  <c r="CX48" i="3"/>
  <c r="CX52" i="3"/>
  <c r="CX47" i="3"/>
  <c r="CX51" i="3"/>
  <c r="CS92" i="1"/>
  <c r="AB92" i="1"/>
  <c r="CQ89" i="1"/>
  <c r="AD89" i="1"/>
  <c r="AB89" i="1" s="1"/>
  <c r="P89" i="1"/>
  <c r="CQ88" i="1"/>
  <c r="AD88" i="1"/>
  <c r="AB88" i="1" s="1"/>
  <c r="P88" i="1"/>
  <c r="CQ87" i="1"/>
  <c r="AD87" i="1"/>
  <c r="AB87" i="1" s="1"/>
  <c r="P87" i="1"/>
  <c r="CQ86" i="1"/>
  <c r="AD86" i="1"/>
  <c r="AB86" i="1" s="1"/>
  <c r="P86" i="1"/>
  <c r="CP86" i="1" s="1"/>
  <c r="O86" i="1" s="1"/>
  <c r="CQ85" i="1"/>
  <c r="AD85" i="1"/>
  <c r="AB85" i="1" s="1"/>
  <c r="P85" i="1"/>
  <c r="CQ84" i="1"/>
  <c r="AD84" i="1"/>
  <c r="AB84" i="1" s="1"/>
  <c r="P84" i="1"/>
  <c r="CQ83" i="1"/>
  <c r="AD83" i="1"/>
  <c r="AB83" i="1" s="1"/>
  <c r="P83" i="1"/>
  <c r="Q94" i="1"/>
  <c r="Q93" i="1"/>
  <c r="CQ94" i="1"/>
  <c r="CQ93" i="1"/>
  <c r="CQ92" i="1"/>
  <c r="CT91" i="1"/>
  <c r="CT90" i="1"/>
  <c r="CS89" i="1"/>
  <c r="R89" i="1"/>
  <c r="U130" i="5" s="1"/>
  <c r="CS88" i="1"/>
  <c r="R88" i="1"/>
  <c r="CS87" i="1"/>
  <c r="R87" i="1"/>
  <c r="CS86" i="1"/>
  <c r="R86" i="1"/>
  <c r="CS85" i="1"/>
  <c r="R85" i="1"/>
  <c r="CS84" i="1"/>
  <c r="R84" i="1"/>
  <c r="V107" i="5" s="1"/>
  <c r="CS83" i="1"/>
  <c r="R83" i="1"/>
  <c r="U107" i="5" s="1"/>
  <c r="GX47" i="1"/>
  <c r="ET49" i="1"/>
  <c r="EL49" i="1"/>
  <c r="EH49" i="1"/>
  <c r="CI49" i="1"/>
  <c r="BD49" i="1"/>
  <c r="CS47" i="1"/>
  <c r="AB47" i="1"/>
  <c r="I47" i="1"/>
  <c r="U47" i="1" s="1"/>
  <c r="U41" i="1"/>
  <c r="CX22" i="3"/>
  <c r="CX21" i="3"/>
  <c r="CX20" i="3"/>
  <c r="CX19" i="3"/>
  <c r="P40" i="1"/>
  <c r="I80" i="5" s="1"/>
  <c r="EG49" i="1"/>
  <c r="BC49" i="1"/>
  <c r="AQ49" i="1"/>
  <c r="W46" i="1"/>
  <c r="S46" i="1"/>
  <c r="R46" i="1"/>
  <c r="W45" i="1"/>
  <c r="S45" i="1"/>
  <c r="K90" i="5" s="1"/>
  <c r="CT45" i="1"/>
  <c r="R45" i="1"/>
  <c r="CX30" i="3"/>
  <c r="CX29" i="3"/>
  <c r="CX28" i="3"/>
  <c r="CX27" i="3"/>
  <c r="Q44" i="1"/>
  <c r="W43" i="1"/>
  <c r="S43" i="1"/>
  <c r="CT43" i="1"/>
  <c r="R43" i="1"/>
  <c r="W42" i="1"/>
  <c r="S42" i="1"/>
  <c r="CT42" i="1"/>
  <c r="R42" i="1"/>
  <c r="R41" i="1"/>
  <c r="AD41" i="1"/>
  <c r="AB41" i="1" s="1"/>
  <c r="CR41" i="1"/>
  <c r="T41" i="1"/>
  <c r="EV49" i="1"/>
  <c r="CG49" i="1"/>
  <c r="BB49" i="1"/>
  <c r="AT49" i="1"/>
  <c r="AP49" i="1"/>
  <c r="CQ47" i="1"/>
  <c r="P46" i="1"/>
  <c r="P43" i="1"/>
  <c r="CP43" i="1" s="1"/>
  <c r="O43" i="1" s="1"/>
  <c r="K81" i="5" s="1"/>
  <c r="P42" i="1"/>
  <c r="CS41" i="1"/>
  <c r="GX40" i="1"/>
  <c r="R40" i="1"/>
  <c r="AD40" i="1"/>
  <c r="AB40" i="1" s="1"/>
  <c r="CR40" i="1"/>
  <c r="T40" i="1"/>
  <c r="EU49" i="1"/>
  <c r="AO49" i="1"/>
  <c r="CX34" i="3"/>
  <c r="CX33" i="3"/>
  <c r="CX32" i="3"/>
  <c r="CX31" i="3"/>
  <c r="Q45" i="1"/>
  <c r="K91" i="5" s="1"/>
  <c r="S44" i="1"/>
  <c r="I90" i="5" s="1"/>
  <c r="CT44" i="1"/>
  <c r="AB44" i="1"/>
  <c r="CX26" i="3"/>
  <c r="CX25" i="3"/>
  <c r="CX24" i="3"/>
  <c r="CX23" i="3"/>
  <c r="P41" i="1"/>
  <c r="K80" i="5" s="1"/>
  <c r="AD39" i="1"/>
  <c r="AB39" i="1" s="1"/>
  <c r="CR39" i="1"/>
  <c r="V37" i="1"/>
  <c r="CS37" i="1"/>
  <c r="AD37" i="1"/>
  <c r="CS38" i="1"/>
  <c r="AB36" i="1"/>
  <c r="CQ35" i="1"/>
  <c r="S34" i="1"/>
  <c r="I60" i="5" s="1"/>
  <c r="AB34" i="1"/>
  <c r="W33" i="1"/>
  <c r="S33" i="1"/>
  <c r="CT33" i="1"/>
  <c r="CX6" i="3"/>
  <c r="CX10" i="3"/>
  <c r="CX9" i="3"/>
  <c r="CX8" i="3"/>
  <c r="CX7" i="3"/>
  <c r="Q31" i="1"/>
  <c r="K43" i="5" s="1"/>
  <c r="GX30" i="1"/>
  <c r="CX15" i="3"/>
  <c r="Q36" i="1"/>
  <c r="I38" i="1"/>
  <c r="P38" i="1" s="1"/>
  <c r="P35" i="1"/>
  <c r="CX11" i="3"/>
  <c r="Q32" i="1"/>
  <c r="S30" i="1"/>
  <c r="I42" i="5" s="1"/>
  <c r="CT30" i="1"/>
  <c r="AB30" i="1"/>
  <c r="W41" i="1"/>
  <c r="S41" i="1"/>
  <c r="K77" i="5" s="1"/>
  <c r="CT41" i="1"/>
  <c r="W40" i="1"/>
  <c r="S40" i="1"/>
  <c r="I77" i="5" s="1"/>
  <c r="CT40" i="1"/>
  <c r="CT39" i="1"/>
  <c r="AB38" i="1"/>
  <c r="CQ36" i="1"/>
  <c r="U36" i="1"/>
  <c r="W36" i="1"/>
  <c r="R36" i="1"/>
  <c r="U66" i="5" s="1"/>
  <c r="CQ34" i="1"/>
  <c r="U34" i="1"/>
  <c r="CX12" i="3"/>
  <c r="Q33" i="1"/>
  <c r="I37" i="1"/>
  <c r="P37" i="1" s="1"/>
  <c r="GX32" i="1"/>
  <c r="S31" i="1"/>
  <c r="K42" i="5" s="1"/>
  <c r="CT31" i="1"/>
  <c r="AB31" i="1"/>
  <c r="CY28" i="1"/>
  <c r="X28" i="1" s="1"/>
  <c r="Q37" i="5" s="1"/>
  <c r="CZ28" i="1"/>
  <c r="Y28" i="1" s="1"/>
  <c r="S37" i="5" s="1"/>
  <c r="AB37" i="1"/>
  <c r="CX13" i="3"/>
  <c r="Q34" i="1"/>
  <c r="W32" i="1"/>
  <c r="S32" i="1"/>
  <c r="CT32" i="1"/>
  <c r="R32" i="1"/>
  <c r="CX2" i="3"/>
  <c r="CX1" i="3"/>
  <c r="CX5" i="3"/>
  <c r="CX4" i="3"/>
  <c r="CX3" i="3"/>
  <c r="Q30" i="1"/>
  <c r="Q29" i="1"/>
  <c r="Q28" i="1"/>
  <c r="CQ29" i="1"/>
  <c r="AD29" i="1"/>
  <c r="AB29" i="1" s="1"/>
  <c r="P29" i="1"/>
  <c r="CQ28" i="1"/>
  <c r="AD28" i="1"/>
  <c r="AB28" i="1" s="1"/>
  <c r="P28" i="1"/>
  <c r="CS29" i="1"/>
  <c r="CS28" i="1"/>
  <c r="CI81" i="1" l="1"/>
  <c r="AZ112" i="1"/>
  <c r="CY167" i="1"/>
  <c r="X167" i="1" s="1"/>
  <c r="R262" i="5" s="1"/>
  <c r="K263" i="5" s="1"/>
  <c r="CZ167" i="1"/>
  <c r="Y167" i="1" s="1"/>
  <c r="T262" i="5" s="1"/>
  <c r="K264" i="5" s="1"/>
  <c r="CY89" i="1"/>
  <c r="X89" i="1" s="1"/>
  <c r="Q130" i="5" s="1"/>
  <c r="CZ89" i="1"/>
  <c r="Y89" i="1" s="1"/>
  <c r="S130" i="5" s="1"/>
  <c r="GK98" i="1"/>
  <c r="K155" i="5"/>
  <c r="V152" i="5"/>
  <c r="GK100" i="1"/>
  <c r="V157" i="5"/>
  <c r="GK155" i="1"/>
  <c r="V230" i="5"/>
  <c r="O245" i="5"/>
  <c r="H245" i="5"/>
  <c r="O120" i="5"/>
  <c r="GK43" i="1"/>
  <c r="V81" i="5"/>
  <c r="CP167" i="1"/>
  <c r="O167" i="1" s="1"/>
  <c r="K262" i="5" s="1"/>
  <c r="GK167" i="1"/>
  <c r="V262" i="5"/>
  <c r="CG81" i="1"/>
  <c r="AX112" i="1"/>
  <c r="W152" i="1"/>
  <c r="CP31" i="1"/>
  <c r="O31" i="1" s="1"/>
  <c r="CP33" i="1"/>
  <c r="O33" i="1" s="1"/>
  <c r="K53" i="5"/>
  <c r="P56" i="5" s="1"/>
  <c r="CP36" i="1"/>
  <c r="O36" i="1" s="1"/>
  <c r="I68" i="5"/>
  <c r="GK41" i="1"/>
  <c r="V75" i="5"/>
  <c r="K84" i="5" s="1"/>
  <c r="K79" i="5"/>
  <c r="GX37" i="1"/>
  <c r="CP94" i="1"/>
  <c r="O94" i="1" s="1"/>
  <c r="K142" i="5"/>
  <c r="GK96" i="1"/>
  <c r="V145" i="5"/>
  <c r="GK150" i="1"/>
  <c r="U211" i="5"/>
  <c r="GK153" i="1"/>
  <c r="V219" i="5"/>
  <c r="K226" i="5" s="1"/>
  <c r="J228" i="5" s="1"/>
  <c r="K223" i="5"/>
  <c r="CP160" i="1"/>
  <c r="O160" i="1" s="1"/>
  <c r="I250" i="5"/>
  <c r="CP150" i="1"/>
  <c r="O150" i="1" s="1"/>
  <c r="GM150" i="1" s="1"/>
  <c r="P152" i="1"/>
  <c r="GK164" i="1"/>
  <c r="U259" i="5"/>
  <c r="R11" i="7"/>
  <c r="D9" i="6"/>
  <c r="E18" i="6"/>
  <c r="O9" i="7"/>
  <c r="F18" i="6" s="1"/>
  <c r="CY146" i="1"/>
  <c r="X146" i="1" s="1"/>
  <c r="Q197" i="5" s="1"/>
  <c r="CZ146" i="1"/>
  <c r="Y146" i="1" s="1"/>
  <c r="S197" i="5" s="1"/>
  <c r="U88" i="1"/>
  <c r="O241" i="5"/>
  <c r="H241" i="5"/>
  <c r="E17" i="6"/>
  <c r="O11" i="7"/>
  <c r="F17" i="6" s="1"/>
  <c r="E10" i="6"/>
  <c r="E19" i="6"/>
  <c r="O26" i="7"/>
  <c r="W89" i="1"/>
  <c r="W88" i="1"/>
  <c r="I273" i="5"/>
  <c r="H276" i="5" s="1"/>
  <c r="D19" i="6"/>
  <c r="GK88" i="1"/>
  <c r="V122" i="5"/>
  <c r="GK110" i="1"/>
  <c r="V184" i="5"/>
  <c r="D47" i="8"/>
  <c r="E219" i="5"/>
  <c r="C220" i="5"/>
  <c r="S152" i="1"/>
  <c r="I154" i="1"/>
  <c r="CP93" i="1"/>
  <c r="O93" i="1" s="1"/>
  <c r="I142" i="5"/>
  <c r="GK93" i="1"/>
  <c r="GM93" i="1" s="1"/>
  <c r="I143" i="5"/>
  <c r="U139" i="5"/>
  <c r="S184" i="5"/>
  <c r="CX104" i="3"/>
  <c r="GK169" i="1"/>
  <c r="GM169" i="1" s="1"/>
  <c r="V268" i="5"/>
  <c r="E21" i="6"/>
  <c r="R35" i="1"/>
  <c r="S35" i="1"/>
  <c r="T29" i="7"/>
  <c r="D20" i="6"/>
  <c r="P236" i="5"/>
  <c r="CP30" i="1"/>
  <c r="O30" i="1" s="1"/>
  <c r="I43" i="5"/>
  <c r="GK46" i="1"/>
  <c r="U94" i="5"/>
  <c r="I97" i="5" s="1"/>
  <c r="GK86" i="1"/>
  <c r="GM86" i="1" s="1"/>
  <c r="K118" i="5"/>
  <c r="V115" i="5"/>
  <c r="K119" i="5" s="1"/>
  <c r="GK103" i="1"/>
  <c r="U170" i="5"/>
  <c r="GK97" i="1"/>
  <c r="I155" i="5"/>
  <c r="U152" i="5"/>
  <c r="AP81" i="1"/>
  <c r="I203" i="5"/>
  <c r="CX105" i="3"/>
  <c r="GK160" i="1"/>
  <c r="GM160" i="1" s="1"/>
  <c r="U247" i="5"/>
  <c r="I251" i="5"/>
  <c r="I54" i="5"/>
  <c r="U51" i="5"/>
  <c r="I55" i="5" s="1"/>
  <c r="Q35" i="1"/>
  <c r="CP35" i="1" s="1"/>
  <c r="O35" i="1" s="1"/>
  <c r="V38" i="1"/>
  <c r="AI49" i="1" s="1"/>
  <c r="GK42" i="1"/>
  <c r="U81" i="5"/>
  <c r="CP85" i="1"/>
  <c r="O85" i="1" s="1"/>
  <c r="CP87" i="1"/>
  <c r="O87" i="1" s="1"/>
  <c r="CP89" i="1"/>
  <c r="O89" i="1" s="1"/>
  <c r="GP89" i="1" s="1"/>
  <c r="CP96" i="1"/>
  <c r="O96" i="1" s="1"/>
  <c r="K145" i="5" s="1"/>
  <c r="CP102" i="1"/>
  <c r="O102" i="1" s="1"/>
  <c r="GN102" i="1" s="1"/>
  <c r="K169" i="5"/>
  <c r="R152" i="1"/>
  <c r="GK170" i="1"/>
  <c r="U272" i="5"/>
  <c r="CP148" i="1"/>
  <c r="O148" i="1" s="1"/>
  <c r="CP161" i="1"/>
  <c r="O161" i="1" s="1"/>
  <c r="GM161" i="1" s="1"/>
  <c r="K250" i="5"/>
  <c r="BZ81" i="1"/>
  <c r="GA112" i="1"/>
  <c r="GK161" i="1"/>
  <c r="K251" i="5"/>
  <c r="V247" i="5"/>
  <c r="K255" i="5" s="1"/>
  <c r="GK163" i="1"/>
  <c r="V252" i="5"/>
  <c r="T11" i="7"/>
  <c r="M14" i="7"/>
  <c r="GX109" i="1"/>
  <c r="T35" i="1"/>
  <c r="S88" i="1"/>
  <c r="J276" i="5"/>
  <c r="CY97" i="1"/>
  <c r="X97" i="1" s="1"/>
  <c r="Q152" i="5" s="1"/>
  <c r="I153" i="5"/>
  <c r="CZ97" i="1"/>
  <c r="Y97" i="1" s="1"/>
  <c r="S152" i="5" s="1"/>
  <c r="T27" i="7"/>
  <c r="O113" i="5"/>
  <c r="H113" i="5"/>
  <c r="M11" i="7"/>
  <c r="CY99" i="1"/>
  <c r="X99" i="1" s="1"/>
  <c r="Q157" i="5" s="1"/>
  <c r="CZ99" i="1"/>
  <c r="Y99" i="1" s="1"/>
  <c r="S157" i="5" s="1"/>
  <c r="I90" i="1"/>
  <c r="E170" i="5"/>
  <c r="I20" i="7"/>
  <c r="D10" i="6" s="1"/>
  <c r="D39" i="8"/>
  <c r="Q103" i="1"/>
  <c r="CP103" i="1" s="1"/>
  <c r="O103" i="1" s="1"/>
  <c r="S103" i="1"/>
  <c r="P209" i="5"/>
  <c r="J113" i="5"/>
  <c r="V103" i="1"/>
  <c r="Q88" i="1"/>
  <c r="CP88" i="1" s="1"/>
  <c r="O88" i="1" s="1"/>
  <c r="P276" i="5"/>
  <c r="F22" i="6"/>
  <c r="W103" i="1"/>
  <c r="CP45" i="1"/>
  <c r="O45" i="1" s="1"/>
  <c r="GK94" i="1"/>
  <c r="K143" i="5"/>
  <c r="V139" i="5"/>
  <c r="K148" i="5" s="1"/>
  <c r="CP98" i="1"/>
  <c r="O98" i="1" s="1"/>
  <c r="GN98" i="1" s="1"/>
  <c r="K156" i="5"/>
  <c r="CP158" i="1"/>
  <c r="O158" i="1" s="1"/>
  <c r="CP105" i="1"/>
  <c r="O105" i="1" s="1"/>
  <c r="I171" i="5" s="1"/>
  <c r="GK168" i="1"/>
  <c r="U268" i="5"/>
  <c r="GK171" i="1"/>
  <c r="V272" i="5"/>
  <c r="V152" i="1"/>
  <c r="E15" i="6"/>
  <c r="O21" i="7"/>
  <c r="F15" i="6" s="1"/>
  <c r="CX14" i="3"/>
  <c r="I63" i="5"/>
  <c r="CP32" i="1"/>
  <c r="O32" i="1" s="1"/>
  <c r="I53" i="5"/>
  <c r="GK40" i="1"/>
  <c r="I79" i="5"/>
  <c r="U75" i="5"/>
  <c r="I84" i="5" s="1"/>
  <c r="GA49" i="1"/>
  <c r="GA26" i="1" s="1"/>
  <c r="GK45" i="1"/>
  <c r="GM45" i="1" s="1"/>
  <c r="K92" i="5"/>
  <c r="V88" i="5"/>
  <c r="GK87" i="1"/>
  <c r="U122" i="5"/>
  <c r="GK99" i="1"/>
  <c r="U157" i="5"/>
  <c r="GK102" i="1"/>
  <c r="K168" i="5"/>
  <c r="V164" i="5"/>
  <c r="K174" i="5" s="1"/>
  <c r="CP108" i="1"/>
  <c r="O108" i="1" s="1"/>
  <c r="K183" i="5"/>
  <c r="CZ105" i="1"/>
  <c r="Y105" i="1" s="1"/>
  <c r="S171" i="5" s="1"/>
  <c r="EH112" i="1"/>
  <c r="GK151" i="1"/>
  <c r="V211" i="5"/>
  <c r="GK166" i="1"/>
  <c r="U262" i="5"/>
  <c r="I274" i="5"/>
  <c r="O276" i="5" s="1"/>
  <c r="EI112" i="1"/>
  <c r="V88" i="1"/>
  <c r="E13" i="6"/>
  <c r="O14" i="7"/>
  <c r="F13" i="6" s="1"/>
  <c r="V35" i="1"/>
  <c r="GX88" i="1"/>
  <c r="T152" i="1"/>
  <c r="Q109" i="1"/>
  <c r="CP109" i="1" s="1"/>
  <c r="O109" i="1" s="1"/>
  <c r="I24" i="7"/>
  <c r="M24" i="7" s="1"/>
  <c r="D42" i="8"/>
  <c r="E184" i="5"/>
  <c r="R109" i="1"/>
  <c r="CZ36" i="1"/>
  <c r="Y36" i="1" s="1"/>
  <c r="S66" i="5" s="1"/>
  <c r="CY36" i="1"/>
  <c r="X36" i="1" s="1"/>
  <c r="Q66" i="5" s="1"/>
  <c r="CY101" i="1"/>
  <c r="X101" i="1" s="1"/>
  <c r="Q164" i="5" s="1"/>
  <c r="I166" i="5"/>
  <c r="CZ101" i="1"/>
  <c r="Y101" i="1" s="1"/>
  <c r="S164" i="5" s="1"/>
  <c r="E20" i="6"/>
  <c r="O29" i="7"/>
  <c r="F20" i="6" s="1"/>
  <c r="T167" i="1"/>
  <c r="O27" i="7"/>
  <c r="H266" i="5"/>
  <c r="O266" i="5"/>
  <c r="I263" i="5"/>
  <c r="V109" i="1"/>
  <c r="J257" i="5"/>
  <c r="GK85" i="1"/>
  <c r="I118" i="5"/>
  <c r="U115" i="5"/>
  <c r="I119" i="5" s="1"/>
  <c r="H120" i="5" s="1"/>
  <c r="GK95" i="1"/>
  <c r="U145" i="5"/>
  <c r="V200" i="5"/>
  <c r="K207" i="5" s="1"/>
  <c r="J209" i="5" s="1"/>
  <c r="K204" i="5"/>
  <c r="CY85" i="1"/>
  <c r="X85" i="1" s="1"/>
  <c r="Q115" i="5" s="1"/>
  <c r="CZ85" i="1"/>
  <c r="Y85" i="1" s="1"/>
  <c r="S115" i="5" s="1"/>
  <c r="CY87" i="1"/>
  <c r="X87" i="1" s="1"/>
  <c r="Q122" i="5" s="1"/>
  <c r="I125" i="5" s="1"/>
  <c r="I124" i="5"/>
  <c r="CZ87" i="1"/>
  <c r="Y87" i="1" s="1"/>
  <c r="S122" i="5" s="1"/>
  <c r="I126" i="5" s="1"/>
  <c r="F9" i="6"/>
  <c r="D23" i="8"/>
  <c r="E71" i="5"/>
  <c r="EA173" i="1"/>
  <c r="EA144" i="1" s="1"/>
  <c r="GK165" i="1"/>
  <c r="V259" i="5"/>
  <c r="CY94" i="1"/>
  <c r="X94" i="1" s="1"/>
  <c r="R139" i="5" s="1"/>
  <c r="K146" i="5" s="1"/>
  <c r="K141" i="5"/>
  <c r="CZ94" i="1"/>
  <c r="Y94" i="1" s="1"/>
  <c r="T139" i="5" s="1"/>
  <c r="K147" i="5" s="1"/>
  <c r="CY150" i="1"/>
  <c r="X150" i="1" s="1"/>
  <c r="Q211" i="5" s="1"/>
  <c r="I214" i="5" s="1"/>
  <c r="I213" i="5"/>
  <c r="CZ150" i="1"/>
  <c r="Y150" i="1" s="1"/>
  <c r="S211" i="5" s="1"/>
  <c r="I215" i="5" s="1"/>
  <c r="U35" i="1"/>
  <c r="EI49" i="1"/>
  <c r="P59" i="1" s="1"/>
  <c r="CP44" i="1"/>
  <c r="O44" i="1" s="1"/>
  <c r="I91" i="5"/>
  <c r="FY49" i="1"/>
  <c r="FY26" i="1" s="1"/>
  <c r="U38" i="1"/>
  <c r="AH49" i="1" s="1"/>
  <c r="GK101" i="1"/>
  <c r="I168" i="5"/>
  <c r="U164" i="5"/>
  <c r="I174" i="5" s="1"/>
  <c r="EP112" i="1"/>
  <c r="EP81" i="1" s="1"/>
  <c r="GK162" i="1"/>
  <c r="U252" i="5"/>
  <c r="FR81" i="1"/>
  <c r="CP155" i="1"/>
  <c r="O155" i="1" s="1"/>
  <c r="CP157" i="1"/>
  <c r="O157" i="1" s="1"/>
  <c r="K240" i="5"/>
  <c r="O133" i="5"/>
  <c r="H133" i="5"/>
  <c r="E11" i="6"/>
  <c r="O18" i="7"/>
  <c r="F11" i="6" s="1"/>
  <c r="U152" i="1"/>
  <c r="T14" i="7"/>
  <c r="R18" i="7"/>
  <c r="D11" i="6"/>
  <c r="V167" i="1"/>
  <c r="CX41" i="3"/>
  <c r="C131" i="5"/>
  <c r="E130" i="5"/>
  <c r="D32" i="8"/>
  <c r="I91" i="1"/>
  <c r="GK107" i="1"/>
  <c r="U178" i="5"/>
  <c r="I182" i="5"/>
  <c r="GK148" i="1"/>
  <c r="I204" i="5"/>
  <c r="U200" i="5"/>
  <c r="I207" i="5" s="1"/>
  <c r="M29" i="7"/>
  <c r="Q152" i="1"/>
  <c r="I222" i="5" s="1"/>
  <c r="CY95" i="1"/>
  <c r="X95" i="1" s="1"/>
  <c r="Q145" i="5" s="1"/>
  <c r="I146" i="5" s="1"/>
  <c r="CZ95" i="1"/>
  <c r="Y95" i="1" s="1"/>
  <c r="S145" i="5" s="1"/>
  <c r="I147" i="5" s="1"/>
  <c r="M27" i="7"/>
  <c r="CC81" i="1"/>
  <c r="AT112" i="1"/>
  <c r="D22" i="6"/>
  <c r="K187" i="5"/>
  <c r="P217" i="5"/>
  <c r="J217" i="5"/>
  <c r="CY162" i="1"/>
  <c r="X162" i="1" s="1"/>
  <c r="Q252" i="5" s="1"/>
  <c r="I253" i="5" s="1"/>
  <c r="CZ162" i="1"/>
  <c r="Y162" i="1" s="1"/>
  <c r="S252" i="5" s="1"/>
  <c r="I254" i="5" s="1"/>
  <c r="GM171" i="1"/>
  <c r="GN171" i="1"/>
  <c r="GN167" i="1"/>
  <c r="DN173" i="1"/>
  <c r="GM168" i="1"/>
  <c r="GN168" i="1"/>
  <c r="GM164" i="1"/>
  <c r="GN164" i="1"/>
  <c r="CP28" i="1"/>
  <c r="O28" i="1" s="1"/>
  <c r="AC49" i="1"/>
  <c r="CZ40" i="1"/>
  <c r="Y40" i="1" s="1"/>
  <c r="S75" i="5" s="1"/>
  <c r="I83" i="5" s="1"/>
  <c r="CY40" i="1"/>
  <c r="X40" i="1" s="1"/>
  <c r="Q75" i="5" s="1"/>
  <c r="CZ30" i="1"/>
  <c r="Y30" i="1" s="1"/>
  <c r="CY30" i="1"/>
  <c r="X30" i="1" s="1"/>
  <c r="CZ34" i="1"/>
  <c r="Y34" i="1" s="1"/>
  <c r="S58" i="5" s="1"/>
  <c r="I62" i="5" s="1"/>
  <c r="CY34" i="1"/>
  <c r="X34" i="1" s="1"/>
  <c r="Q58" i="5" s="1"/>
  <c r="I61" i="5" s="1"/>
  <c r="H64" i="5" s="1"/>
  <c r="AO26" i="1"/>
  <c r="F53" i="1"/>
  <c r="AO203" i="1"/>
  <c r="AT26" i="1"/>
  <c r="F67" i="1"/>
  <c r="AT203" i="1"/>
  <c r="ER49" i="1"/>
  <c r="CZ42" i="1"/>
  <c r="Y42" i="1" s="1"/>
  <c r="S81" i="5" s="1"/>
  <c r="CY42" i="1"/>
  <c r="X42" i="1" s="1"/>
  <c r="Q81" i="5" s="1"/>
  <c r="BD26" i="1"/>
  <c r="F74" i="1"/>
  <c r="BD203" i="1"/>
  <c r="CP29" i="1"/>
  <c r="O29" i="1" s="1"/>
  <c r="GK32" i="1"/>
  <c r="CX16" i="3"/>
  <c r="U37" i="1"/>
  <c r="Q37" i="1"/>
  <c r="K68" i="5" s="1"/>
  <c r="S37" i="1"/>
  <c r="I39" i="1"/>
  <c r="CX17" i="3"/>
  <c r="S38" i="1"/>
  <c r="CP38" i="1" s="1"/>
  <c r="O38" i="1" s="1"/>
  <c r="T38" i="1"/>
  <c r="AG49" i="1" s="1"/>
  <c r="W38" i="1"/>
  <c r="AJ49" i="1" s="1"/>
  <c r="Q38" i="1"/>
  <c r="I72" i="5" s="1"/>
  <c r="CZ33" i="1"/>
  <c r="Y33" i="1" s="1"/>
  <c r="CY33" i="1"/>
  <c r="X33" i="1" s="1"/>
  <c r="R38" i="1"/>
  <c r="R37" i="1"/>
  <c r="V66" i="5" s="1"/>
  <c r="EI26" i="1"/>
  <c r="CP46" i="1"/>
  <c r="O46" i="1" s="1"/>
  <c r="I94" i="5" s="1"/>
  <c r="BB26" i="1"/>
  <c r="F62" i="1"/>
  <c r="BB203" i="1"/>
  <c r="CZ45" i="1"/>
  <c r="Y45" i="1" s="1"/>
  <c r="CY45" i="1"/>
  <c r="X45" i="1" s="1"/>
  <c r="R88" i="5" s="1"/>
  <c r="GX38" i="1"/>
  <c r="CJ49" i="1" s="1"/>
  <c r="R47" i="1"/>
  <c r="CI26" i="1"/>
  <c r="AZ49" i="1"/>
  <c r="P47" i="1"/>
  <c r="GK84" i="1"/>
  <c r="CP83" i="1"/>
  <c r="O83" i="1" s="1"/>
  <c r="GM87" i="1"/>
  <c r="GN87" i="1"/>
  <c r="CP107" i="1"/>
  <c r="O107" i="1" s="1"/>
  <c r="CP97" i="1"/>
  <c r="O97" i="1" s="1"/>
  <c r="CP101" i="1"/>
  <c r="O101" i="1" s="1"/>
  <c r="BC81" i="1"/>
  <c r="F128" i="1"/>
  <c r="GM96" i="1"/>
  <c r="GM98" i="1"/>
  <c r="GN100" i="1"/>
  <c r="GM100" i="1"/>
  <c r="EU81" i="1"/>
  <c r="P128" i="1"/>
  <c r="GK146" i="1"/>
  <c r="EH81" i="1"/>
  <c r="P121" i="1"/>
  <c r="GK149" i="1"/>
  <c r="CY158" i="1"/>
  <c r="X158" i="1" s="1"/>
  <c r="CZ158" i="1"/>
  <c r="Y158" i="1" s="1"/>
  <c r="S243" i="5" s="1"/>
  <c r="EV144" i="1"/>
  <c r="P198" i="1"/>
  <c r="BC144" i="1"/>
  <c r="F189" i="1"/>
  <c r="EL81" i="1"/>
  <c r="P130" i="1"/>
  <c r="GP156" i="1"/>
  <c r="GM156" i="1"/>
  <c r="CI144" i="1"/>
  <c r="AZ173" i="1"/>
  <c r="EU144" i="1"/>
  <c r="P189" i="1"/>
  <c r="T159" i="1"/>
  <c r="DY173" i="1" s="1"/>
  <c r="AI26" i="1"/>
  <c r="V49" i="1"/>
  <c r="CZ44" i="1"/>
  <c r="Y44" i="1" s="1"/>
  <c r="S88" i="5" s="1"/>
  <c r="I96" i="5" s="1"/>
  <c r="CY44" i="1"/>
  <c r="X44" i="1" s="1"/>
  <c r="EU26" i="1"/>
  <c r="P65" i="1"/>
  <c r="EU203" i="1"/>
  <c r="CG26" i="1"/>
  <c r="AX49" i="1"/>
  <c r="AQ26" i="1"/>
  <c r="F59" i="1"/>
  <c r="AQ203" i="1"/>
  <c r="CP34" i="1"/>
  <c r="O34" i="1" s="1"/>
  <c r="EG81" i="1"/>
  <c r="P116" i="1"/>
  <c r="GM104" i="1"/>
  <c r="GN104" i="1"/>
  <c r="CY107" i="1"/>
  <c r="X107" i="1" s="1"/>
  <c r="Q178" i="5" s="1"/>
  <c r="I185" i="5" s="1"/>
  <c r="CZ107" i="1"/>
  <c r="Y107" i="1" s="1"/>
  <c r="S178" i="5" s="1"/>
  <c r="CY110" i="1"/>
  <c r="X110" i="1" s="1"/>
  <c r="CZ110" i="1"/>
  <c r="Y110" i="1" s="1"/>
  <c r="T184" i="5" s="1"/>
  <c r="EV81" i="1"/>
  <c r="P137" i="1"/>
  <c r="ER173" i="1"/>
  <c r="GA144" i="1"/>
  <c r="EG144" i="1"/>
  <c r="P177" i="1"/>
  <c r="GP158" i="1"/>
  <c r="EI81" i="1"/>
  <c r="P122" i="1"/>
  <c r="ET81" i="1"/>
  <c r="P125" i="1"/>
  <c r="CP146" i="1"/>
  <c r="O146" i="1" s="1"/>
  <c r="GM151" i="1"/>
  <c r="GN151" i="1"/>
  <c r="GM155" i="1"/>
  <c r="GN155" i="1"/>
  <c r="CX114" i="3"/>
  <c r="S159" i="1"/>
  <c r="Q159" i="1"/>
  <c r="GN170" i="1"/>
  <c r="GM170" i="1"/>
  <c r="EH144" i="1"/>
  <c r="P182" i="1"/>
  <c r="P159" i="1"/>
  <c r="DU173" i="1" s="1"/>
  <c r="U159" i="1"/>
  <c r="DZ173" i="1" s="1"/>
  <c r="CP40" i="1"/>
  <c r="O40" i="1" s="1"/>
  <c r="EH26" i="1"/>
  <c r="P58" i="1"/>
  <c r="EH203" i="1"/>
  <c r="V47" i="1"/>
  <c r="CZ32" i="1"/>
  <c r="Y32" i="1" s="1"/>
  <c r="S51" i="5" s="1"/>
  <c r="CY32" i="1"/>
  <c r="X32" i="1" s="1"/>
  <c r="CZ31" i="1"/>
  <c r="Y31" i="1" s="1"/>
  <c r="T40" i="5" s="1"/>
  <c r="K46" i="5" s="1"/>
  <c r="CY31" i="1"/>
  <c r="X31" i="1" s="1"/>
  <c r="CZ41" i="1"/>
  <c r="Y41" i="1" s="1"/>
  <c r="T75" i="5" s="1"/>
  <c r="CY41" i="1"/>
  <c r="X41" i="1" s="1"/>
  <c r="R75" i="5" s="1"/>
  <c r="CP41" i="1"/>
  <c r="O41" i="1" s="1"/>
  <c r="CP42" i="1"/>
  <c r="O42" i="1" s="1"/>
  <c r="I81" i="5" s="1"/>
  <c r="AP26" i="1"/>
  <c r="F58" i="1"/>
  <c r="AP203" i="1"/>
  <c r="EV26" i="1"/>
  <c r="P74" i="1"/>
  <c r="EV203" i="1"/>
  <c r="BC26" i="1"/>
  <c r="F65" i="1"/>
  <c r="BC203" i="1"/>
  <c r="W37" i="1"/>
  <c r="EL26" i="1"/>
  <c r="P67" i="1"/>
  <c r="EL203" i="1"/>
  <c r="T47" i="1"/>
  <c r="GK83" i="1"/>
  <c r="T37" i="1"/>
  <c r="GM85" i="1"/>
  <c r="GN85" i="1"/>
  <c r="AO144" i="1"/>
  <c r="F177" i="1"/>
  <c r="CY157" i="1"/>
  <c r="X157" i="1" s="1"/>
  <c r="CZ157" i="1"/>
  <c r="Y157" i="1" s="1"/>
  <c r="T238" i="5" s="1"/>
  <c r="AP144" i="1"/>
  <c r="F182" i="1"/>
  <c r="AQ81" i="1"/>
  <c r="F122" i="1"/>
  <c r="GA81" i="1"/>
  <c r="ER112" i="1"/>
  <c r="CY148" i="1"/>
  <c r="X148" i="1" s="1"/>
  <c r="CZ148" i="1"/>
  <c r="Y148" i="1" s="1"/>
  <c r="GN150" i="1"/>
  <c r="R159" i="1"/>
  <c r="ET144" i="1"/>
  <c r="P186" i="1"/>
  <c r="GX159" i="1"/>
  <c r="GB173" i="1" s="1"/>
  <c r="AD49" i="1"/>
  <c r="GN31" i="1"/>
  <c r="CZ43" i="1"/>
  <c r="Y43" i="1" s="1"/>
  <c r="T81" i="5" s="1"/>
  <c r="CY43" i="1"/>
  <c r="X43" i="1" s="1"/>
  <c r="CZ46" i="1"/>
  <c r="Y46" i="1" s="1"/>
  <c r="S94" i="5" s="1"/>
  <c r="CY46" i="1"/>
  <c r="X46" i="1" s="1"/>
  <c r="Q94" i="5" s="1"/>
  <c r="EG26" i="1"/>
  <c r="P53" i="1"/>
  <c r="EG203" i="1"/>
  <c r="S47" i="1"/>
  <c r="Q47" i="1"/>
  <c r="ET26" i="1"/>
  <c r="P62" i="1"/>
  <c r="ET203" i="1"/>
  <c r="W47" i="1"/>
  <c r="CP84" i="1"/>
  <c r="O84" i="1" s="1"/>
  <c r="CY106" i="1"/>
  <c r="X106" i="1" s="1"/>
  <c r="CZ106" i="1"/>
  <c r="Y106" i="1" s="1"/>
  <c r="T171" i="5" s="1"/>
  <c r="K173" i="5" s="1"/>
  <c r="CY108" i="1"/>
  <c r="X108" i="1" s="1"/>
  <c r="CZ108" i="1"/>
  <c r="Y108" i="1" s="1"/>
  <c r="T178" i="5" s="1"/>
  <c r="K186" i="5" s="1"/>
  <c r="AO81" i="1"/>
  <c r="F116" i="1"/>
  <c r="EI144" i="1"/>
  <c r="P183" i="1"/>
  <c r="AZ81" i="1"/>
  <c r="F123" i="1"/>
  <c r="CZ147" i="1"/>
  <c r="Y147" i="1" s="1"/>
  <c r="T197" i="5" s="1"/>
  <c r="CY147" i="1"/>
  <c r="X147" i="1" s="1"/>
  <c r="DX173" i="1"/>
  <c r="CG144" i="1"/>
  <c r="AX173" i="1"/>
  <c r="F183" i="1"/>
  <c r="AQ144" i="1"/>
  <c r="BD81" i="1"/>
  <c r="F137" i="1"/>
  <c r="CP149" i="1"/>
  <c r="O149" i="1" s="1"/>
  <c r="GM153" i="1"/>
  <c r="GN153" i="1"/>
  <c r="GM162" i="1"/>
  <c r="GN162" i="1"/>
  <c r="GM166" i="1"/>
  <c r="GN166" i="1"/>
  <c r="BD144" i="1"/>
  <c r="F198" i="1"/>
  <c r="FY144" i="1"/>
  <c r="EP173" i="1"/>
  <c r="GM165" i="1"/>
  <c r="GN165" i="1"/>
  <c r="EL144" i="1"/>
  <c r="P191" i="1"/>
  <c r="GM163" i="1"/>
  <c r="GN163" i="1"/>
  <c r="W159" i="1"/>
  <c r="EB173" i="1" s="1"/>
  <c r="AT144" i="1"/>
  <c r="F191" i="1"/>
  <c r="I184" i="5" l="1"/>
  <c r="J189" i="5"/>
  <c r="GN88" i="1"/>
  <c r="I170" i="5"/>
  <c r="P266" i="5"/>
  <c r="J266" i="5"/>
  <c r="AH26" i="1"/>
  <c r="U49" i="1"/>
  <c r="F71" i="1" s="1"/>
  <c r="GM43" i="1"/>
  <c r="R81" i="5"/>
  <c r="GM31" i="1"/>
  <c r="R40" i="5"/>
  <c r="K45" i="5" s="1"/>
  <c r="P150" i="5"/>
  <c r="J150" i="5"/>
  <c r="CZ35" i="1"/>
  <c r="Y35" i="1" s="1"/>
  <c r="T58" i="5" s="1"/>
  <c r="K62" i="5" s="1"/>
  <c r="K60" i="5"/>
  <c r="CY35" i="1"/>
  <c r="X35" i="1" s="1"/>
  <c r="R58" i="5" s="1"/>
  <c r="K61" i="5" s="1"/>
  <c r="GM106" i="1"/>
  <c r="R171" i="5"/>
  <c r="K172" i="5" s="1"/>
  <c r="GN33" i="1"/>
  <c r="R51" i="5"/>
  <c r="O64" i="5"/>
  <c r="GM147" i="1"/>
  <c r="R197" i="5"/>
  <c r="S200" i="5"/>
  <c r="I206" i="5" s="1"/>
  <c r="GM105" i="1"/>
  <c r="GM33" i="1"/>
  <c r="T51" i="5"/>
  <c r="I82" i="5"/>
  <c r="AF49" i="1"/>
  <c r="GM94" i="1"/>
  <c r="GN93" i="1"/>
  <c r="GP36" i="1"/>
  <c r="GN161" i="1"/>
  <c r="F130" i="1"/>
  <c r="AT81" i="1"/>
  <c r="I187" i="5"/>
  <c r="H189" i="5" s="1"/>
  <c r="T20" i="7"/>
  <c r="O56" i="5"/>
  <c r="H56" i="5"/>
  <c r="CX42" i="3"/>
  <c r="GX90" i="1"/>
  <c r="R90" i="1"/>
  <c r="W90" i="1"/>
  <c r="T90" i="1"/>
  <c r="S90" i="1"/>
  <c r="V90" i="1"/>
  <c r="U90" i="1"/>
  <c r="Q90" i="1"/>
  <c r="K132" i="5" s="1"/>
  <c r="I92" i="1"/>
  <c r="P90" i="1"/>
  <c r="CY88" i="1"/>
  <c r="X88" i="1" s="1"/>
  <c r="R122" i="5" s="1"/>
  <c r="K125" i="5" s="1"/>
  <c r="K124" i="5"/>
  <c r="J128" i="5" s="1"/>
  <c r="CZ88" i="1"/>
  <c r="Y88" i="1" s="1"/>
  <c r="T122" i="5" s="1"/>
  <c r="K126" i="5" s="1"/>
  <c r="GK152" i="1"/>
  <c r="I223" i="5"/>
  <c r="U219" i="5"/>
  <c r="I226" i="5" s="1"/>
  <c r="P228" i="5"/>
  <c r="O24" i="7"/>
  <c r="F21" i="6" s="1"/>
  <c r="I186" i="5"/>
  <c r="K160" i="5"/>
  <c r="CY152" i="1"/>
  <c r="X152" i="1" s="1"/>
  <c r="Q219" i="5" s="1"/>
  <c r="I224" i="5" s="1"/>
  <c r="I221" i="5"/>
  <c r="CZ152" i="1"/>
  <c r="Y152" i="1" s="1"/>
  <c r="S219" i="5" s="1"/>
  <c r="I225" i="5" s="1"/>
  <c r="DV173" i="1"/>
  <c r="DV144" i="1" s="1"/>
  <c r="K244" i="5"/>
  <c r="GM167" i="1"/>
  <c r="I227" i="5"/>
  <c r="GK35" i="1"/>
  <c r="GM35" i="1" s="1"/>
  <c r="V58" i="5"/>
  <c r="GM99" i="1"/>
  <c r="GP157" i="1"/>
  <c r="R238" i="5"/>
  <c r="GM89" i="1"/>
  <c r="GM32" i="1"/>
  <c r="Q51" i="5"/>
  <c r="GM102" i="1"/>
  <c r="EP49" i="1"/>
  <c r="EP26" i="1" s="1"/>
  <c r="EI203" i="1"/>
  <c r="GN99" i="1"/>
  <c r="GK159" i="1"/>
  <c r="V243" i="5"/>
  <c r="Q200" i="5"/>
  <c r="I205" i="5" s="1"/>
  <c r="GN105" i="1"/>
  <c r="P119" i="1"/>
  <c r="GN96" i="1"/>
  <c r="GN45" i="1"/>
  <c r="T88" i="5"/>
  <c r="O73" i="5"/>
  <c r="H73" i="5"/>
  <c r="GN30" i="1"/>
  <c r="Q40" i="5"/>
  <c r="I45" i="5" s="1"/>
  <c r="GN94" i="1"/>
  <c r="GM36" i="1"/>
  <c r="O217" i="5"/>
  <c r="H217" i="5"/>
  <c r="GK109" i="1"/>
  <c r="GN109" i="1" s="1"/>
  <c r="U184" i="5"/>
  <c r="CY103" i="1"/>
  <c r="X103" i="1" s="1"/>
  <c r="Q170" i="5" s="1"/>
  <c r="CZ103" i="1"/>
  <c r="Y103" i="1" s="1"/>
  <c r="S170" i="5" s="1"/>
  <c r="I173" i="5" s="1"/>
  <c r="O176" i="5" s="1"/>
  <c r="M20" i="7"/>
  <c r="P257" i="5"/>
  <c r="AD173" i="1"/>
  <c r="F19" i="6"/>
  <c r="AE49" i="1"/>
  <c r="U71" i="5"/>
  <c r="P241" i="5"/>
  <c r="J241" i="5"/>
  <c r="I172" i="5"/>
  <c r="GM95" i="1"/>
  <c r="GN86" i="1"/>
  <c r="GM30" i="1"/>
  <c r="S40" i="5"/>
  <c r="I46" i="5" s="1"/>
  <c r="CX43" i="3"/>
  <c r="D33" i="8"/>
  <c r="E135" i="5"/>
  <c r="R91" i="1"/>
  <c r="U91" i="1"/>
  <c r="AH112" i="1" s="1"/>
  <c r="T91" i="1"/>
  <c r="AG112" i="1" s="1"/>
  <c r="S91" i="1"/>
  <c r="GX91" i="1"/>
  <c r="CJ112" i="1" s="1"/>
  <c r="W91" i="1"/>
  <c r="AJ112" i="1" s="1"/>
  <c r="Q91" i="1"/>
  <c r="P91" i="1"/>
  <c r="V91" i="1"/>
  <c r="AI112" i="1" s="1"/>
  <c r="I159" i="5"/>
  <c r="H162" i="5" s="1"/>
  <c r="J120" i="5"/>
  <c r="P120" i="5"/>
  <c r="J56" i="5"/>
  <c r="I148" i="5"/>
  <c r="H150" i="5" s="1"/>
  <c r="O69" i="5"/>
  <c r="H69" i="5"/>
  <c r="AX81" i="1"/>
  <c r="F119" i="1"/>
  <c r="GK47" i="1"/>
  <c r="V94" i="5"/>
  <c r="K97" i="5" s="1"/>
  <c r="H128" i="5"/>
  <c r="O128" i="5"/>
  <c r="T24" i="7"/>
  <c r="D21" i="6"/>
  <c r="R20" i="7"/>
  <c r="R24" i="7"/>
  <c r="K82" i="5"/>
  <c r="GM110" i="1"/>
  <c r="R184" i="5"/>
  <c r="GM158" i="1"/>
  <c r="Q243" i="5"/>
  <c r="P69" i="5"/>
  <c r="J69" i="5"/>
  <c r="GN160" i="1"/>
  <c r="GN169" i="1"/>
  <c r="GM108" i="1"/>
  <c r="R178" i="5"/>
  <c r="K185" i="5" s="1"/>
  <c r="P189" i="5" s="1"/>
  <c r="GN95" i="1"/>
  <c r="K83" i="5"/>
  <c r="GM44" i="1"/>
  <c r="Q88" i="5"/>
  <c r="I95" i="5" s="1"/>
  <c r="H99" i="5" s="1"/>
  <c r="I158" i="5"/>
  <c r="I255" i="5"/>
  <c r="O257" i="5" s="1"/>
  <c r="I160" i="5"/>
  <c r="O162" i="5" s="1"/>
  <c r="O49" i="5"/>
  <c r="CX109" i="3"/>
  <c r="E230" i="5"/>
  <c r="D48" i="8"/>
  <c r="C231" i="5"/>
  <c r="W154" i="1"/>
  <c r="AJ173" i="1" s="1"/>
  <c r="V154" i="1"/>
  <c r="AI173" i="1" s="1"/>
  <c r="S154" i="1"/>
  <c r="R154" i="1"/>
  <c r="GX154" i="1"/>
  <c r="CJ173" i="1" s="1"/>
  <c r="T154" i="1"/>
  <c r="AG173" i="1" s="1"/>
  <c r="U154" i="1"/>
  <c r="I235" i="5" s="1"/>
  <c r="Q154" i="1"/>
  <c r="P154" i="1"/>
  <c r="O20" i="7"/>
  <c r="F10" i="6" s="1"/>
  <c r="E23" i="6" s="1"/>
  <c r="CP152" i="1"/>
  <c r="O152" i="1" s="1"/>
  <c r="DI173" i="1"/>
  <c r="CJ26" i="1"/>
  <c r="BA49" i="1"/>
  <c r="AE26" i="1"/>
  <c r="R49" i="1"/>
  <c r="CY47" i="1"/>
  <c r="X47" i="1" s="1"/>
  <c r="R94" i="5" s="1"/>
  <c r="K95" i="5" s="1"/>
  <c r="CZ47" i="1"/>
  <c r="Y47" i="1" s="1"/>
  <c r="T94" i="5" s="1"/>
  <c r="DU144" i="1"/>
  <c r="DH173" i="1"/>
  <c r="FW173" i="1"/>
  <c r="FX173" i="1"/>
  <c r="FZ173" i="1"/>
  <c r="AX144" i="1"/>
  <c r="F180" i="1"/>
  <c r="EG22" i="1"/>
  <c r="P207" i="1"/>
  <c r="EG235" i="1"/>
  <c r="GM42" i="1"/>
  <c r="GN42" i="1"/>
  <c r="GN40" i="1"/>
  <c r="GM40" i="1"/>
  <c r="CY159" i="1"/>
  <c r="X159" i="1" s="1"/>
  <c r="R243" i="5" s="1"/>
  <c r="CZ159" i="1"/>
  <c r="Y159" i="1" s="1"/>
  <c r="GN148" i="1"/>
  <c r="EU22" i="1"/>
  <c r="P219" i="1"/>
  <c r="EU235" i="1"/>
  <c r="GM107" i="1"/>
  <c r="GN107" i="1"/>
  <c r="EP203" i="1"/>
  <c r="BB22" i="1"/>
  <c r="F216" i="1"/>
  <c r="BB235" i="1"/>
  <c r="EI22" i="1"/>
  <c r="P213" i="1"/>
  <c r="EI235" i="1"/>
  <c r="CZ38" i="1"/>
  <c r="Y38" i="1" s="1"/>
  <c r="GP38" i="1" s="1"/>
  <c r="CY38" i="1"/>
  <c r="X38" i="1" s="1"/>
  <c r="Q71" i="5" s="1"/>
  <c r="GM29" i="1"/>
  <c r="GP29" i="1"/>
  <c r="GN43" i="1"/>
  <c r="AK49" i="1"/>
  <c r="GN110" i="1"/>
  <c r="DN144" i="1"/>
  <c r="P196" i="1"/>
  <c r="GM84" i="1"/>
  <c r="GN84" i="1"/>
  <c r="U26" i="1"/>
  <c r="EH22" i="1"/>
  <c r="EH235" i="1"/>
  <c r="P212" i="1"/>
  <c r="GM148" i="1"/>
  <c r="ER144" i="1"/>
  <c r="P184" i="1"/>
  <c r="GN147" i="1"/>
  <c r="GN108" i="1"/>
  <c r="V26" i="1"/>
  <c r="F72" i="1"/>
  <c r="CD173" i="1"/>
  <c r="DW173" i="1"/>
  <c r="GN101" i="1"/>
  <c r="GM101" i="1"/>
  <c r="GM83" i="1"/>
  <c r="GN83" i="1"/>
  <c r="BD22" i="1"/>
  <c r="F228" i="1"/>
  <c r="BD235" i="1"/>
  <c r="AT22" i="1"/>
  <c r="AT235" i="1"/>
  <c r="F221" i="1"/>
  <c r="AJ26" i="1"/>
  <c r="W49" i="1"/>
  <c r="EB144" i="1"/>
  <c r="DO173" i="1"/>
  <c r="GM149" i="1"/>
  <c r="GN149" i="1"/>
  <c r="AD26" i="1"/>
  <c r="Q49" i="1"/>
  <c r="ER81" i="1"/>
  <c r="P123" i="1"/>
  <c r="AP22" i="1"/>
  <c r="F212" i="1"/>
  <c r="AP235" i="1"/>
  <c r="GM41" i="1"/>
  <c r="GN41" i="1"/>
  <c r="DZ144" i="1"/>
  <c r="DM173" i="1"/>
  <c r="EP144" i="1"/>
  <c r="P180" i="1"/>
  <c r="DX144" i="1"/>
  <c r="DK173" i="1"/>
  <c r="GB144" i="1"/>
  <c r="ES173" i="1"/>
  <c r="EV22" i="1"/>
  <c r="P228" i="1"/>
  <c r="EV235" i="1"/>
  <c r="CP159" i="1"/>
  <c r="O159" i="1" s="1"/>
  <c r="DT173" i="1" s="1"/>
  <c r="GN146" i="1"/>
  <c r="GM146" i="1"/>
  <c r="GM34" i="1"/>
  <c r="GN34" i="1"/>
  <c r="AX26" i="1"/>
  <c r="F56" i="1"/>
  <c r="AX203" i="1"/>
  <c r="AZ144" i="1"/>
  <c r="F184" i="1"/>
  <c r="GN97" i="1"/>
  <c r="GM97" i="1"/>
  <c r="AZ26" i="1"/>
  <c r="F60" i="1"/>
  <c r="AZ203" i="1"/>
  <c r="CX18" i="3"/>
  <c r="P39" i="1"/>
  <c r="T39" i="1"/>
  <c r="DY49" i="1" s="1"/>
  <c r="Q39" i="1"/>
  <c r="GX39" i="1"/>
  <c r="GB49" i="1" s="1"/>
  <c r="W39" i="1"/>
  <c r="EB49" i="1" s="1"/>
  <c r="V39" i="1"/>
  <c r="EA49" i="1" s="1"/>
  <c r="R39" i="1"/>
  <c r="S39" i="1"/>
  <c r="U39" i="1"/>
  <c r="DZ49" i="1" s="1"/>
  <c r="AO22" i="1"/>
  <c r="AO235" i="1"/>
  <c r="F207" i="1"/>
  <c r="AC26" i="1"/>
  <c r="CF49" i="1"/>
  <c r="CH49" i="1"/>
  <c r="P49" i="1"/>
  <c r="CE49" i="1"/>
  <c r="GM157" i="1"/>
  <c r="GN44" i="1"/>
  <c r="GN106" i="1"/>
  <c r="GN32" i="1"/>
  <c r="ET22" i="1"/>
  <c r="ET235" i="1"/>
  <c r="P216" i="1"/>
  <c r="EL22" i="1"/>
  <c r="EL235" i="1"/>
  <c r="P221" i="1"/>
  <c r="BC22" i="1"/>
  <c r="F219" i="1"/>
  <c r="BC235" i="1"/>
  <c r="AQ22" i="1"/>
  <c r="F213" i="1"/>
  <c r="AQ235" i="1"/>
  <c r="GM38" i="1"/>
  <c r="DL173" i="1"/>
  <c r="DY144" i="1"/>
  <c r="CP47" i="1"/>
  <c r="O47" i="1" s="1"/>
  <c r="K94" i="5" s="1"/>
  <c r="GM46" i="1"/>
  <c r="GN46" i="1"/>
  <c r="GK37" i="1"/>
  <c r="DW49" i="1"/>
  <c r="AG26" i="1"/>
  <c r="T49" i="1"/>
  <c r="CY37" i="1"/>
  <c r="X37" i="1" s="1"/>
  <c r="R66" i="5" s="1"/>
  <c r="CZ37" i="1"/>
  <c r="Y37" i="1" s="1"/>
  <c r="T66" i="5" s="1"/>
  <c r="CP37" i="1"/>
  <c r="O37" i="1" s="1"/>
  <c r="ER26" i="1"/>
  <c r="P60" i="1"/>
  <c r="ER203" i="1"/>
  <c r="AF26" i="1"/>
  <c r="S49" i="1"/>
  <c r="GP28" i="1"/>
  <c r="GM28" i="1"/>
  <c r="AB49" i="1"/>
  <c r="J279" i="5" l="1"/>
  <c r="T173" i="1"/>
  <c r="AG144" i="1"/>
  <c r="J99" i="5"/>
  <c r="H176" i="5"/>
  <c r="F16" i="2"/>
  <c r="F18" i="2" s="1"/>
  <c r="I23" i="5"/>
  <c r="I136" i="5"/>
  <c r="AD112" i="1"/>
  <c r="CP90" i="1"/>
  <c r="O90" i="1" s="1"/>
  <c r="J176" i="5"/>
  <c r="P176" i="5"/>
  <c r="GN103" i="1"/>
  <c r="P56" i="1"/>
  <c r="CP154" i="1"/>
  <c r="O154" i="1" s="1"/>
  <c r="AC173" i="1"/>
  <c r="CY154" i="1"/>
  <c r="X154" i="1" s="1"/>
  <c r="I232" i="5"/>
  <c r="CZ154" i="1"/>
  <c r="Y154" i="1" s="1"/>
  <c r="O150" i="5"/>
  <c r="AJ81" i="1"/>
  <c r="W112" i="1"/>
  <c r="W203" i="1" s="1"/>
  <c r="AF173" i="1"/>
  <c r="J162" i="5"/>
  <c r="P162" i="5"/>
  <c r="W92" i="1"/>
  <c r="EB112" i="1" s="1"/>
  <c r="R92" i="1"/>
  <c r="V92" i="1"/>
  <c r="EA112" i="1" s="1"/>
  <c r="CX44" i="3"/>
  <c r="GX92" i="1"/>
  <c r="GB112" i="1" s="1"/>
  <c r="P92" i="1"/>
  <c r="U92" i="1"/>
  <c r="DZ112" i="1" s="1"/>
  <c r="S92" i="1"/>
  <c r="Q92" i="1"/>
  <c r="T92" i="1"/>
  <c r="DY112" i="1" s="1"/>
  <c r="O99" i="5"/>
  <c r="GM103" i="1"/>
  <c r="GM109" i="1"/>
  <c r="CD49" i="1"/>
  <c r="CD26" i="1" s="1"/>
  <c r="U16" i="2"/>
  <c r="U18" i="2" s="1"/>
  <c r="J23" i="5"/>
  <c r="GK154" i="1"/>
  <c r="U230" i="5"/>
  <c r="AE173" i="1"/>
  <c r="J86" i="5"/>
  <c r="P86" i="5"/>
  <c r="U135" i="5"/>
  <c r="AE112" i="1"/>
  <c r="K96" i="5"/>
  <c r="P99" i="5" s="1"/>
  <c r="CB112" i="1"/>
  <c r="AS112" i="1" s="1"/>
  <c r="V16" i="2"/>
  <c r="V18" i="2" s="1"/>
  <c r="J24" i="5"/>
  <c r="ED173" i="1"/>
  <c r="ED144" i="1" s="1"/>
  <c r="T243" i="5"/>
  <c r="V173" i="1"/>
  <c r="AI144" i="1"/>
  <c r="BA112" i="1"/>
  <c r="BA203" i="1" s="1"/>
  <c r="CJ81" i="1"/>
  <c r="H49" i="5"/>
  <c r="P245" i="5"/>
  <c r="J245" i="5"/>
  <c r="J133" i="5"/>
  <c r="P133" i="5"/>
  <c r="GK90" i="1"/>
  <c r="V130" i="5"/>
  <c r="J49" i="5"/>
  <c r="P49" i="5"/>
  <c r="W173" i="1"/>
  <c r="AJ144" i="1"/>
  <c r="CY91" i="1"/>
  <c r="X91" i="1" s="1"/>
  <c r="CZ91" i="1"/>
  <c r="Y91" i="1" s="1"/>
  <c r="AF112" i="1"/>
  <c r="O189" i="5"/>
  <c r="P64" i="5"/>
  <c r="J64" i="5"/>
  <c r="DV49" i="1"/>
  <c r="K72" i="5"/>
  <c r="AD144" i="1"/>
  <c r="Q173" i="1"/>
  <c r="CA49" i="1"/>
  <c r="AR49" i="1" s="1"/>
  <c r="EC173" i="1"/>
  <c r="DP173" i="1" s="1"/>
  <c r="AI81" i="1"/>
  <c r="V112" i="1"/>
  <c r="AG81" i="1"/>
  <c r="T112" i="1"/>
  <c r="T203" i="1" s="1"/>
  <c r="P128" i="5"/>
  <c r="GN35" i="1"/>
  <c r="GM88" i="1"/>
  <c r="H257" i="5"/>
  <c r="CB49" i="1"/>
  <c r="GK39" i="1"/>
  <c r="V71" i="5"/>
  <c r="G16" i="2"/>
  <c r="G18" i="2" s="1"/>
  <c r="I24" i="5"/>
  <c r="AL49" i="1"/>
  <c r="AL26" i="1" s="1"/>
  <c r="S71" i="5"/>
  <c r="GM152" i="1"/>
  <c r="GN152" i="1"/>
  <c r="CJ144" i="1"/>
  <c r="BA173" i="1"/>
  <c r="CP91" i="1"/>
  <c r="O91" i="1" s="1"/>
  <c r="AC112" i="1"/>
  <c r="AH81" i="1"/>
  <c r="U112" i="1"/>
  <c r="O209" i="5"/>
  <c r="H209" i="5"/>
  <c r="AH173" i="1"/>
  <c r="H228" i="5"/>
  <c r="O228" i="5"/>
  <c r="CY90" i="1"/>
  <c r="X90" i="1" s="1"/>
  <c r="R130" i="5" s="1"/>
  <c r="CZ90" i="1"/>
  <c r="Y90" i="1" s="1"/>
  <c r="T130" i="5" s="1"/>
  <c r="H86" i="5"/>
  <c r="O86" i="5"/>
  <c r="EC49" i="1"/>
  <c r="DQ173" i="1"/>
  <c r="DV26" i="1"/>
  <c r="DI49" i="1"/>
  <c r="DY26" i="1"/>
  <c r="DL49" i="1"/>
  <c r="CB26" i="1"/>
  <c r="AS49" i="1"/>
  <c r="EB26" i="1"/>
  <c r="DO49" i="1"/>
  <c r="DT144" i="1"/>
  <c r="DG173" i="1"/>
  <c r="DW26" i="1"/>
  <c r="DJ49" i="1"/>
  <c r="CH26" i="1"/>
  <c r="AY49" i="1"/>
  <c r="AZ22" i="1"/>
  <c r="F214" i="1"/>
  <c r="AZ235" i="1"/>
  <c r="S26" i="1"/>
  <c r="F64" i="1"/>
  <c r="AQ18" i="1"/>
  <c r="F245" i="1"/>
  <c r="CF26" i="1"/>
  <c r="AW49" i="1"/>
  <c r="EA26" i="1"/>
  <c r="DN49" i="1"/>
  <c r="BD18" i="1"/>
  <c r="F260" i="1"/>
  <c r="EH18" i="1"/>
  <c r="P244" i="1"/>
  <c r="AK26" i="1"/>
  <c r="X49" i="1"/>
  <c r="EI18" i="1"/>
  <c r="P245" i="1"/>
  <c r="FX144" i="1"/>
  <c r="EO173" i="1"/>
  <c r="BA26" i="1"/>
  <c r="F69" i="1"/>
  <c r="DL144" i="1"/>
  <c r="P194" i="1"/>
  <c r="CE26" i="1"/>
  <c r="AV49" i="1"/>
  <c r="DZ26" i="1"/>
  <c r="DM49" i="1"/>
  <c r="CP39" i="1"/>
  <c r="O39" i="1" s="1"/>
  <c r="DU49" i="1"/>
  <c r="AX22" i="1"/>
  <c r="F210" i="1"/>
  <c r="AX235" i="1"/>
  <c r="GP159" i="1"/>
  <c r="FV173" i="1" s="1"/>
  <c r="GM159" i="1"/>
  <c r="FS173" i="1" s="1"/>
  <c r="ES144" i="1"/>
  <c r="P193" i="1"/>
  <c r="P188" i="1"/>
  <c r="DK144" i="1"/>
  <c r="Q26" i="1"/>
  <c r="F61" i="1"/>
  <c r="DO144" i="1"/>
  <c r="P197" i="1"/>
  <c r="CB81" i="1"/>
  <c r="DW144" i="1"/>
  <c r="DJ173" i="1"/>
  <c r="EU18" i="1"/>
  <c r="P251" i="1"/>
  <c r="FW144" i="1"/>
  <c r="EN173" i="1"/>
  <c r="AB26" i="1"/>
  <c r="O49" i="1"/>
  <c r="T26" i="1"/>
  <c r="F70" i="1"/>
  <c r="ER22" i="1"/>
  <c r="P214" i="1"/>
  <c r="ER235" i="1"/>
  <c r="GP37" i="1"/>
  <c r="GM37" i="1"/>
  <c r="BC18" i="1"/>
  <c r="F251" i="1"/>
  <c r="EL18" i="1"/>
  <c r="P253" i="1"/>
  <c r="ET18" i="1"/>
  <c r="P248" i="1"/>
  <c r="P26" i="1"/>
  <c r="F52" i="1"/>
  <c r="CZ39" i="1"/>
  <c r="Y39" i="1" s="1"/>
  <c r="CY39" i="1"/>
  <c r="X39" i="1" s="1"/>
  <c r="R71" i="5" s="1"/>
  <c r="DX49" i="1"/>
  <c r="GB26" i="1"/>
  <c r="ES49" i="1"/>
  <c r="AT18" i="1"/>
  <c r="F253" i="1"/>
  <c r="CD144" i="1"/>
  <c r="AU173" i="1"/>
  <c r="EP22" i="1"/>
  <c r="EP235" i="1"/>
  <c r="P210" i="1"/>
  <c r="EG18" i="1"/>
  <c r="P239" i="1"/>
  <c r="DH144" i="1"/>
  <c r="P176" i="1"/>
  <c r="R26" i="1"/>
  <c r="F63" i="1"/>
  <c r="DI144" i="1"/>
  <c r="P185" i="1"/>
  <c r="GM47" i="1"/>
  <c r="GN47" i="1"/>
  <c r="FT49" i="1" s="1"/>
  <c r="AO18" i="1"/>
  <c r="F239" i="1"/>
  <c r="EV18" i="1"/>
  <c r="P260" i="1"/>
  <c r="DM144" i="1"/>
  <c r="P195" i="1"/>
  <c r="AP18" i="1"/>
  <c r="F244" i="1"/>
  <c r="W26" i="1"/>
  <c r="F73" i="1"/>
  <c r="FT173" i="1"/>
  <c r="FT112" i="1"/>
  <c r="DT49" i="1"/>
  <c r="BB18" i="1"/>
  <c r="F248" i="1"/>
  <c r="FZ144" i="1"/>
  <c r="EQ173" i="1"/>
  <c r="CA173" i="1" l="1"/>
  <c r="DT112" i="1"/>
  <c r="DT81" i="1" s="1"/>
  <c r="EC144" i="1"/>
  <c r="V81" i="1"/>
  <c r="F135" i="1"/>
  <c r="V203" i="1"/>
  <c r="Q144" i="1"/>
  <c r="F185" i="1"/>
  <c r="R173" i="1"/>
  <c r="AE144" i="1"/>
  <c r="DZ81" i="1"/>
  <c r="DM112" i="1"/>
  <c r="AD81" i="1"/>
  <c r="Q112" i="1"/>
  <c r="F193" i="1"/>
  <c r="BA144" i="1"/>
  <c r="S112" i="1"/>
  <c r="AF81" i="1"/>
  <c r="F196" i="1"/>
  <c r="V144" i="1"/>
  <c r="CP92" i="1"/>
  <c r="O92" i="1" s="1"/>
  <c r="S230" i="5"/>
  <c r="I234" i="5" s="1"/>
  <c r="AL173" i="1"/>
  <c r="O137" i="5"/>
  <c r="H192" i="5" s="1"/>
  <c r="H137" i="5"/>
  <c r="Y49" i="1"/>
  <c r="AU49" i="1"/>
  <c r="AU26" i="1" s="1"/>
  <c r="ED49" i="1"/>
  <c r="ED26" i="1" s="1"/>
  <c r="T71" i="5"/>
  <c r="CA26" i="1"/>
  <c r="P73" i="5"/>
  <c r="J73" i="5"/>
  <c r="S135" i="5"/>
  <c r="AL112" i="1"/>
  <c r="AE81" i="1"/>
  <c r="R112" i="1"/>
  <c r="ES112" i="1"/>
  <c r="ES203" i="1" s="1"/>
  <c r="GB81" i="1"/>
  <c r="AH144" i="1"/>
  <c r="U173" i="1"/>
  <c r="GM91" i="1"/>
  <c r="CA112" i="1" s="1"/>
  <c r="CA81" i="1" s="1"/>
  <c r="GP91" i="1"/>
  <c r="CD112" i="1" s="1"/>
  <c r="AB112" i="1"/>
  <c r="EB81" i="1"/>
  <c r="DO112" i="1"/>
  <c r="U81" i="1"/>
  <c r="F134" i="1"/>
  <c r="U203" i="1"/>
  <c r="AK112" i="1"/>
  <c r="Q135" i="5"/>
  <c r="DY81" i="1"/>
  <c r="DL112" i="1"/>
  <c r="AF144" i="1"/>
  <c r="S173" i="1"/>
  <c r="Q230" i="5"/>
  <c r="I233" i="5" s="1"/>
  <c r="O236" i="5" s="1"/>
  <c r="AK173" i="1"/>
  <c r="T144" i="1"/>
  <c r="F194" i="1"/>
  <c r="T81" i="1"/>
  <c r="F133" i="1"/>
  <c r="BA81" i="1"/>
  <c r="F132" i="1"/>
  <c r="J102" i="5"/>
  <c r="DV112" i="1"/>
  <c r="K136" i="5"/>
  <c r="EA81" i="1"/>
  <c r="DN112" i="1"/>
  <c r="W81" i="1"/>
  <c r="F136" i="1"/>
  <c r="AC144" i="1"/>
  <c r="P173" i="1"/>
  <c r="CE173" i="1"/>
  <c r="CF173" i="1"/>
  <c r="CH173" i="1"/>
  <c r="GP90" i="1"/>
  <c r="GM90" i="1"/>
  <c r="P112" i="1"/>
  <c r="CF112" i="1"/>
  <c r="CE112" i="1"/>
  <c r="AC81" i="1"/>
  <c r="CH112" i="1"/>
  <c r="F197" i="1"/>
  <c r="W144" i="1"/>
  <c r="H102" i="5"/>
  <c r="CY92" i="1"/>
  <c r="X92" i="1" s="1"/>
  <c r="CZ92" i="1"/>
  <c r="Y92" i="1" s="1"/>
  <c r="DX112" i="1"/>
  <c r="GK92" i="1"/>
  <c r="V135" i="5"/>
  <c r="DW112" i="1"/>
  <c r="GM154" i="1"/>
  <c r="GN154" i="1"/>
  <c r="CB173" i="1" s="1"/>
  <c r="AB173" i="1"/>
  <c r="DU112" i="1"/>
  <c r="FT26" i="1"/>
  <c r="EK49" i="1"/>
  <c r="EJ173" i="1"/>
  <c r="FS144" i="1"/>
  <c r="ES26" i="1"/>
  <c r="P69" i="1"/>
  <c r="DU26" i="1"/>
  <c r="FZ49" i="1"/>
  <c r="DH49" i="1"/>
  <c r="FW49" i="1"/>
  <c r="FX49" i="1"/>
  <c r="AV26" i="1"/>
  <c r="F54" i="1"/>
  <c r="BA22" i="1"/>
  <c r="BA235" i="1"/>
  <c r="F223" i="1"/>
  <c r="AZ18" i="1"/>
  <c r="F246" i="1"/>
  <c r="FT81" i="1"/>
  <c r="EK112" i="1"/>
  <c r="AR26" i="1"/>
  <c r="F77" i="1"/>
  <c r="EN144" i="1"/>
  <c r="P178" i="1"/>
  <c r="GP39" i="1"/>
  <c r="FV49" i="1" s="1"/>
  <c r="GM39" i="1"/>
  <c r="FS49" i="1" s="1"/>
  <c r="EO144" i="1"/>
  <c r="P179" i="1"/>
  <c r="DN26" i="1"/>
  <c r="P72" i="1"/>
  <c r="DN203" i="1"/>
  <c r="DP144" i="1"/>
  <c r="P199" i="1"/>
  <c r="DG144" i="1"/>
  <c r="P175" i="1"/>
  <c r="AS26" i="1"/>
  <c r="F66" i="1"/>
  <c r="DL26" i="1"/>
  <c r="P70" i="1"/>
  <c r="DL203" i="1"/>
  <c r="DT26" i="1"/>
  <c r="DG49" i="1"/>
  <c r="Y26" i="1"/>
  <c r="F76" i="1"/>
  <c r="F68" i="1"/>
  <c r="DX26" i="1"/>
  <c r="DK49" i="1"/>
  <c r="ER18" i="1"/>
  <c r="P246" i="1"/>
  <c r="O26" i="1"/>
  <c r="F51" i="1"/>
  <c r="AS81" i="1"/>
  <c r="F129" i="1"/>
  <c r="DI26" i="1"/>
  <c r="P61" i="1"/>
  <c r="EQ144" i="1"/>
  <c r="P181" i="1"/>
  <c r="FV144" i="1"/>
  <c r="EM173" i="1"/>
  <c r="DM26" i="1"/>
  <c r="P71" i="1"/>
  <c r="DM203" i="1"/>
  <c r="X26" i="1"/>
  <c r="F75" i="1"/>
  <c r="FT144" i="1"/>
  <c r="EK173" i="1"/>
  <c r="W22" i="1"/>
  <c r="W235" i="1"/>
  <c r="F227" i="1"/>
  <c r="F192" i="1"/>
  <c r="AU144" i="1"/>
  <c r="T22" i="1"/>
  <c r="F224" i="1"/>
  <c r="T235" i="1"/>
  <c r="AX18" i="1"/>
  <c r="F242" i="1"/>
  <c r="AW26" i="1"/>
  <c r="F55" i="1"/>
  <c r="AY26" i="1"/>
  <c r="F57" i="1"/>
  <c r="DJ26" i="1"/>
  <c r="P63" i="1"/>
  <c r="DO26" i="1"/>
  <c r="P73" i="1"/>
  <c r="DO203" i="1"/>
  <c r="EP18" i="1"/>
  <c r="P242" i="1"/>
  <c r="DJ144" i="1"/>
  <c r="P187" i="1"/>
  <c r="DQ144" i="1"/>
  <c r="P200" i="1"/>
  <c r="EC26" i="1"/>
  <c r="DP49" i="1"/>
  <c r="H279" i="5" l="1"/>
  <c r="H283" i="5"/>
  <c r="CE144" i="1"/>
  <c r="AV173" i="1"/>
  <c r="AK81" i="1"/>
  <c r="X112" i="1"/>
  <c r="H236" i="5"/>
  <c r="AR112" i="1"/>
  <c r="DQ49" i="1"/>
  <c r="P76" i="1" s="1"/>
  <c r="P81" i="1"/>
  <c r="F115" i="1"/>
  <c r="P203" i="1"/>
  <c r="F176" i="1"/>
  <c r="P144" i="1"/>
  <c r="P137" i="5"/>
  <c r="J137" i="5"/>
  <c r="F188" i="1"/>
  <c r="S144" i="1"/>
  <c r="F225" i="1"/>
  <c r="I27" i="5" s="1"/>
  <c r="U22" i="1"/>
  <c r="U235" i="1"/>
  <c r="O112" i="1"/>
  <c r="AB81" i="1"/>
  <c r="GM92" i="1"/>
  <c r="GP92" i="1"/>
  <c r="FV112" i="1" s="1"/>
  <c r="F187" i="1"/>
  <c r="R144" i="1"/>
  <c r="FZ112" i="1"/>
  <c r="FW112" i="1"/>
  <c r="DH112" i="1"/>
  <c r="DU81" i="1"/>
  <c r="FX112" i="1"/>
  <c r="FS112" i="1"/>
  <c r="DI112" i="1"/>
  <c r="DV81" i="1"/>
  <c r="CD81" i="1"/>
  <c r="AU112" i="1"/>
  <c r="Q81" i="1"/>
  <c r="F124" i="1"/>
  <c r="Q203" i="1"/>
  <c r="CF81" i="1"/>
  <c r="AW112" i="1"/>
  <c r="DX81" i="1"/>
  <c r="DK112" i="1"/>
  <c r="AY112" i="1"/>
  <c r="CH81" i="1"/>
  <c r="ES81" i="1"/>
  <c r="P132" i="1"/>
  <c r="AB144" i="1"/>
  <c r="O173" i="1"/>
  <c r="AS173" i="1"/>
  <c r="CB144" i="1"/>
  <c r="P136" i="1"/>
  <c r="DO81" i="1"/>
  <c r="V22" i="1"/>
  <c r="F226" i="1"/>
  <c r="V235" i="1"/>
  <c r="DJ112" i="1"/>
  <c r="DW81" i="1"/>
  <c r="AL81" i="1"/>
  <c r="Y112" i="1"/>
  <c r="P133" i="1"/>
  <c r="DL81" i="1"/>
  <c r="DG112" i="1"/>
  <c r="P114" i="1" s="1"/>
  <c r="ED112" i="1"/>
  <c r="T135" i="5"/>
  <c r="AY173" i="1"/>
  <c r="CH144" i="1"/>
  <c r="U144" i="1"/>
  <c r="F195" i="1"/>
  <c r="R81" i="1"/>
  <c r="R203" i="1"/>
  <c r="F126" i="1"/>
  <c r="DM81" i="1"/>
  <c r="P134" i="1"/>
  <c r="CA144" i="1"/>
  <c r="AR173" i="1"/>
  <c r="EC112" i="1"/>
  <c r="R135" i="5"/>
  <c r="AV112" i="1"/>
  <c r="CE81" i="1"/>
  <c r="CF144" i="1"/>
  <c r="AW173" i="1"/>
  <c r="DN81" i="1"/>
  <c r="P135" i="1"/>
  <c r="AK144" i="1"/>
  <c r="X173" i="1"/>
  <c r="AL144" i="1"/>
  <c r="Y173" i="1"/>
  <c r="F127" i="1"/>
  <c r="S203" i="1"/>
  <c r="S81" i="1"/>
  <c r="FV26" i="1"/>
  <c r="EM49" i="1"/>
  <c r="W18" i="1"/>
  <c r="F259" i="1"/>
  <c r="BA18" i="1"/>
  <c r="F255" i="1"/>
  <c r="FZ26" i="1"/>
  <c r="EQ49" i="1"/>
  <c r="ES22" i="1"/>
  <c r="P223" i="1"/>
  <c r="ES235" i="1"/>
  <c r="DP26" i="1"/>
  <c r="P75" i="1"/>
  <c r="DL22" i="1"/>
  <c r="P224" i="1"/>
  <c r="DL235" i="1"/>
  <c r="FX26" i="1"/>
  <c r="EO49" i="1"/>
  <c r="EJ144" i="1"/>
  <c r="P201" i="1"/>
  <c r="DO22" i="1"/>
  <c r="P227" i="1"/>
  <c r="DO235" i="1"/>
  <c r="T18" i="1"/>
  <c r="F256" i="1"/>
  <c r="EK144" i="1"/>
  <c r="P190" i="1"/>
  <c r="DQ26" i="1"/>
  <c r="P192" i="1"/>
  <c r="EM144" i="1"/>
  <c r="DN22" i="1"/>
  <c r="P226" i="1"/>
  <c r="DN235" i="1"/>
  <c r="FW26" i="1"/>
  <c r="EN49" i="1"/>
  <c r="FS26" i="1"/>
  <c r="EJ49" i="1"/>
  <c r="DM22" i="1"/>
  <c r="DM235" i="1"/>
  <c r="P225" i="1"/>
  <c r="DK26" i="1"/>
  <c r="P64" i="1"/>
  <c r="DK203" i="1"/>
  <c r="DG26" i="1"/>
  <c r="P51" i="1"/>
  <c r="DG203" i="1"/>
  <c r="AR81" i="1"/>
  <c r="F140" i="1"/>
  <c r="EK81" i="1"/>
  <c r="P129" i="1"/>
  <c r="DH26" i="1"/>
  <c r="P52" i="1"/>
  <c r="DH203" i="1"/>
  <c r="EK26" i="1"/>
  <c r="P66" i="1"/>
  <c r="EK203" i="1"/>
  <c r="DG81" i="1"/>
  <c r="FV81" i="1" l="1"/>
  <c r="EM112" i="1"/>
  <c r="EM203" i="1" s="1"/>
  <c r="R22" i="1"/>
  <c r="R235" i="1"/>
  <c r="F217" i="1"/>
  <c r="Y203" i="1"/>
  <c r="Y81" i="1"/>
  <c r="F139" i="1"/>
  <c r="F131" i="1"/>
  <c r="AU203" i="1"/>
  <c r="AU81" i="1"/>
  <c r="Y144" i="1"/>
  <c r="F200" i="1"/>
  <c r="AW144" i="1"/>
  <c r="F179" i="1"/>
  <c r="AR144" i="1"/>
  <c r="F201" i="1"/>
  <c r="DQ112" i="1"/>
  <c r="ED81" i="1"/>
  <c r="AW81" i="1"/>
  <c r="F118" i="1"/>
  <c r="AW203" i="1"/>
  <c r="P115" i="1"/>
  <c r="DH81" i="1"/>
  <c r="F206" i="1"/>
  <c r="P235" i="1"/>
  <c r="P22" i="1"/>
  <c r="F138" i="1"/>
  <c r="X81" i="1"/>
  <c r="X203" i="1"/>
  <c r="EN112" i="1"/>
  <c r="EN203" i="1" s="1"/>
  <c r="FW81" i="1"/>
  <c r="X144" i="1"/>
  <c r="F199" i="1"/>
  <c r="DJ81" i="1"/>
  <c r="P126" i="1"/>
  <c r="DJ203" i="1"/>
  <c r="Q22" i="1"/>
  <c r="F215" i="1"/>
  <c r="Q235" i="1"/>
  <c r="DI81" i="1"/>
  <c r="P124" i="1"/>
  <c r="DI203" i="1"/>
  <c r="FZ81" i="1"/>
  <c r="EQ112" i="1"/>
  <c r="F114" i="1"/>
  <c r="O203" i="1"/>
  <c r="O81" i="1"/>
  <c r="AV144" i="1"/>
  <c r="F178" i="1"/>
  <c r="AV203" i="1"/>
  <c r="AV81" i="1"/>
  <c r="F117" i="1"/>
  <c r="V18" i="1"/>
  <c r="F258" i="1"/>
  <c r="AS144" i="1"/>
  <c r="F190" i="1"/>
  <c r="AS203" i="1"/>
  <c r="AY81" i="1"/>
  <c r="AY203" i="1"/>
  <c r="F120" i="1"/>
  <c r="EJ112" i="1"/>
  <c r="EJ203" i="1" s="1"/>
  <c r="FS81" i="1"/>
  <c r="U18" i="1"/>
  <c r="F257" i="1"/>
  <c r="J192" i="5"/>
  <c r="J283" i="5"/>
  <c r="S22" i="1"/>
  <c r="F218" i="1"/>
  <c r="S235" i="1"/>
  <c r="AY144" i="1"/>
  <c r="F181" i="1"/>
  <c r="O144" i="1"/>
  <c r="F175" i="1"/>
  <c r="P127" i="1"/>
  <c r="DK81" i="1"/>
  <c r="FX81" i="1"/>
  <c r="EO112" i="1"/>
  <c r="AR203" i="1"/>
  <c r="EC81" i="1"/>
  <c r="DP112" i="1"/>
  <c r="EJ26" i="1"/>
  <c r="P77" i="1"/>
  <c r="EO26" i="1"/>
  <c r="P55" i="1"/>
  <c r="DK22" i="1"/>
  <c r="DK235" i="1"/>
  <c r="P218" i="1"/>
  <c r="DM18" i="1"/>
  <c r="P257" i="1"/>
  <c r="DL18" i="1"/>
  <c r="P256" i="1"/>
  <c r="DH22" i="1"/>
  <c r="P206" i="1"/>
  <c r="DH235" i="1"/>
  <c r="EK22" i="1"/>
  <c r="P220" i="1"/>
  <c r="EK235" i="1"/>
  <c r="DG22" i="1"/>
  <c r="DG235" i="1"/>
  <c r="P205" i="1"/>
  <c r="EN26" i="1"/>
  <c r="P54" i="1"/>
  <c r="EQ26" i="1"/>
  <c r="P57" i="1"/>
  <c r="EQ203" i="1"/>
  <c r="EM26" i="1"/>
  <c r="P68" i="1"/>
  <c r="DN18" i="1"/>
  <c r="P258" i="1"/>
  <c r="DO18" i="1"/>
  <c r="P259" i="1"/>
  <c r="ES18" i="1"/>
  <c r="P255" i="1"/>
  <c r="Y16" i="2" l="1"/>
  <c r="Y18" i="2" s="1"/>
  <c r="J26" i="5"/>
  <c r="AR22" i="1"/>
  <c r="F231" i="1"/>
  <c r="AR235" i="1"/>
  <c r="DJ22" i="1"/>
  <c r="P217" i="1"/>
  <c r="DJ235" i="1"/>
  <c r="EO81" i="1"/>
  <c r="P118" i="1"/>
  <c r="AY22" i="1"/>
  <c r="F211" i="1"/>
  <c r="AY235" i="1"/>
  <c r="X235" i="1"/>
  <c r="F229" i="1"/>
  <c r="X22" i="1"/>
  <c r="DQ81" i="1"/>
  <c r="P139" i="1"/>
  <c r="DQ203" i="1"/>
  <c r="O22" i="1"/>
  <c r="O235" i="1"/>
  <c r="F205" i="1"/>
  <c r="T16" i="2"/>
  <c r="J22" i="5"/>
  <c r="S18" i="1"/>
  <c r="F250" i="1"/>
  <c r="AS235" i="1"/>
  <c r="AS22" i="1"/>
  <c r="F220" i="1"/>
  <c r="F247" i="1"/>
  <c r="Q18" i="1"/>
  <c r="F209" i="1"/>
  <c r="AW235" i="1"/>
  <c r="AW22" i="1"/>
  <c r="AU22" i="1"/>
  <c r="F222" i="1"/>
  <c r="AU235" i="1"/>
  <c r="R18" i="1"/>
  <c r="F249" i="1"/>
  <c r="EJ81" i="1"/>
  <c r="P140" i="1"/>
  <c r="EM81" i="1"/>
  <c r="P131" i="1"/>
  <c r="DI235" i="1"/>
  <c r="P215" i="1"/>
  <c r="DI22" i="1"/>
  <c r="F230" i="1"/>
  <c r="Y235" i="1"/>
  <c r="Y22" i="1"/>
  <c r="EO203" i="1"/>
  <c r="EO235" i="1" s="1"/>
  <c r="DP81" i="1"/>
  <c r="P138" i="1"/>
  <c r="DP203" i="1"/>
  <c r="J16" i="2"/>
  <c r="J18" i="2" s="1"/>
  <c r="I26" i="5"/>
  <c r="AV22" i="1"/>
  <c r="F208" i="1"/>
  <c r="AV235" i="1"/>
  <c r="EQ81" i="1"/>
  <c r="P120" i="1"/>
  <c r="P18" i="1"/>
  <c r="F238" i="1"/>
  <c r="P117" i="1"/>
  <c r="EN81" i="1"/>
  <c r="DK18" i="1"/>
  <c r="P250" i="1"/>
  <c r="EQ22" i="1"/>
  <c r="P211" i="1"/>
  <c r="EQ235" i="1"/>
  <c r="EN22" i="1"/>
  <c r="P208" i="1"/>
  <c r="EN235" i="1"/>
  <c r="DG18" i="1"/>
  <c r="P237" i="1"/>
  <c r="EO22" i="1"/>
  <c r="P209" i="1"/>
  <c r="EM22" i="1"/>
  <c r="P222" i="1"/>
  <c r="EM235" i="1"/>
  <c r="DH18" i="1"/>
  <c r="P238" i="1"/>
  <c r="EJ22" i="1"/>
  <c r="P231" i="1"/>
  <c r="EJ235" i="1"/>
  <c r="EK18" i="1"/>
  <c r="P252" i="1"/>
  <c r="T18" i="2"/>
  <c r="DP235" i="1" l="1"/>
  <c r="DP22" i="1"/>
  <c r="P229" i="1"/>
  <c r="E16" i="2"/>
  <c r="I22" i="5"/>
  <c r="AR18" i="1"/>
  <c r="F263" i="1"/>
  <c r="AV18" i="1"/>
  <c r="F240" i="1"/>
  <c r="F232" i="1"/>
  <c r="H286" i="5" s="1"/>
  <c r="F233" i="1"/>
  <c r="Y18" i="1"/>
  <c r="F262" i="1"/>
  <c r="W16" i="2"/>
  <c r="W18" i="2" s="1"/>
  <c r="J25" i="5"/>
  <c r="F241" i="1"/>
  <c r="AW18" i="1"/>
  <c r="AS18" i="1"/>
  <c r="F252" i="1"/>
  <c r="O18" i="1"/>
  <c r="F237" i="1"/>
  <c r="H16" i="2"/>
  <c r="H18" i="2" s="1"/>
  <c r="I25" i="5"/>
  <c r="P247" i="1"/>
  <c r="DI18" i="1"/>
  <c r="X18" i="1"/>
  <c r="F261" i="1"/>
  <c r="P249" i="1"/>
  <c r="DJ18" i="1"/>
  <c r="F254" i="1"/>
  <c r="AU18" i="1"/>
  <c r="P230" i="1"/>
  <c r="DQ235" i="1"/>
  <c r="DQ22" i="1"/>
  <c r="F243" i="1"/>
  <c r="AY18" i="1"/>
  <c r="P232" i="1"/>
  <c r="J286" i="5" s="1"/>
  <c r="P233" i="1"/>
  <c r="EO18" i="1"/>
  <c r="P241" i="1"/>
  <c r="EQ18" i="1"/>
  <c r="P243" i="1"/>
  <c r="EM18" i="1"/>
  <c r="P254" i="1"/>
  <c r="EN18" i="1"/>
  <c r="P240" i="1"/>
  <c r="EJ18" i="1"/>
  <c r="P263" i="1"/>
  <c r="I16" i="2" l="1"/>
  <c r="I18" i="2" s="1"/>
  <c r="E18" i="2"/>
  <c r="J287" i="5"/>
  <c r="J21" i="5"/>
  <c r="H287" i="5"/>
  <c r="I21" i="5"/>
  <c r="DQ18" i="1"/>
  <c r="P262" i="1"/>
  <c r="X16" i="2"/>
  <c r="X18" i="2" s="1"/>
  <c r="F264" i="1"/>
  <c r="F265" i="1" s="1"/>
  <c r="DP18" i="1"/>
  <c r="P261" i="1"/>
  <c r="P264" i="1"/>
  <c r="P265" i="1" s="1"/>
</calcChain>
</file>

<file path=xl/sharedStrings.xml><?xml version="1.0" encoding="utf-8"?>
<sst xmlns="http://schemas.openxmlformats.org/spreadsheetml/2006/main" count="5459" uniqueCount="446">
  <si>
    <t>Smeta.RU  (495) 974-1589</t>
  </si>
  <si>
    <t>_PS_</t>
  </si>
  <si>
    <t>Smeta.RU</t>
  </si>
  <si>
    <t/>
  </si>
  <si>
    <t>Новый объект</t>
  </si>
  <si>
    <t>Ремонт АБП в Новослободском парке</t>
  </si>
  <si>
    <t>Сметные нормы списания</t>
  </si>
  <si>
    <t>Коды ОКП для ТСН-2001 МГЭ</t>
  </si>
  <si>
    <t>ТСН-2001 (МГЭ) - Новое строительство</t>
  </si>
  <si>
    <t>Типовой расчет для ТСН-2001 МГЭ, Новая методика с выпуска доп. 43 (Строительство), Доп 60</t>
  </si>
  <si>
    <t>Территориальные сметные нормативы для Москвы ТСН-2001 (МГЭ)</t>
  </si>
  <si>
    <t>Поправки для ТСН-2001 от 26.04.2021 г. доп.60</t>
  </si>
  <si>
    <t>Новая локальная смета</t>
  </si>
  <si>
    <t>Новый раздел</t>
  </si>
  <si>
    <t>Ремонт АБП</t>
  </si>
  <si>
    <t>1</t>
  </si>
  <si>
    <t>АБП</t>
  </si>
  <si>
    <t>м2</t>
  </si>
  <si>
    <t>Прочие работы</t>
  </si>
  <si>
    <t>МЦЦС</t>
  </si>
  <si>
    <t>2</t>
  </si>
  <si>
    <t>6.68-51-4</t>
  </si>
  <si>
    <t>Разборка покрытий и оснований асфальтобетонных</t>
  </si>
  <si>
    <t>100 м3 конструкций</t>
  </si>
  <si>
    <t>ТСН-2001.6. Доп. 1-42. Сб. 68, т. 51, поз. 4</t>
  </si>
  <si>
    <t>Ремонтно-строительные работы</t>
  </si>
  <si>
    <t>ТСН-2001.6-68. 68-51...68-53</t>
  </si>
  <si>
    <t>ТСН-2001.6-68-21</t>
  </si>
  <si>
    <t>3</t>
  </si>
  <si>
    <t>6.68-13-1</t>
  </si>
  <si>
    <t>Механизированная погрузка строительного мусора в автомобили-самосвалы</t>
  </si>
  <si>
    <t>1 Т</t>
  </si>
  <si>
    <t>ТСН-2001.6. Доп. 1-42. Сб. 68, т. 13, поз. 1</t>
  </si>
  <si>
    <t>ТСН-2001.6-68. 68-13</t>
  </si>
  <si>
    <t>ТСН-2001.6-68-5</t>
  </si>
  <si>
    <t>4</t>
  </si>
  <si>
    <t>6.69-19-1</t>
  </si>
  <si>
    <t>Погрузка и выгрузка вручную строительного мусора на транспортные средства</t>
  </si>
  <si>
    <t>ТСН-2001.6. Доп. 1-42. Сб. 69, т. 19, поз. 1</t>
  </si>
  <si>
    <t>ТСН-2001.6-69. 69-1...69-49</t>
  </si>
  <si>
    <t>ТСН-2001.6-69-1</t>
  </si>
  <si>
    <t>5</t>
  </si>
  <si>
    <t>15.2-52-11</t>
  </si>
  <si>
    <t>Перевозка строительного мусора на расстояние до 52 км автосамосвалами грузоподъемностью до 20 т</t>
  </si>
  <si>
    <t>т</t>
  </si>
  <si>
    <t>ТСН-2001.15 Доп. 54, Сб. 2, т. 52, поз. 11</t>
  </si>
  <si>
    <t>Транспортные затраты</t>
  </si>
  <si>
    <t>ТСН-2001.15-1. Перевозка строительного мусора</t>
  </si>
  <si>
    <t>ТСН-2001.15-1-5</t>
  </si>
  <si>
    <t>6</t>
  </si>
  <si>
    <t>15.1-1300-02</t>
  </si>
  <si>
    <t>Лом асфальтовых и асфальтобетонных покрытий малоопасный</t>
  </si>
  <si>
    <t>ТСН-2001.15 Доп. 56, Сб. 1, т. 1300, поз. 2</t>
  </si>
  <si>
    <t>7</t>
  </si>
  <si>
    <t>3.27-47-3</t>
  </si>
  <si>
    <t>Устройство асфальтобетонных покрытий дорожек и тротуаров двухслойных нижний слой из крупнозернистой асфальтобетонной смеси толщиной 4,5 см/5см</t>
  </si>
  <si>
    <t>100 м2 покрытия</t>
  </si>
  <si>
    <t>ТСН-2001.3 Доп. 55, Сб. 27, т. 47, поз. 3</t>
  </si>
  <si>
    <t>Строительные работы</t>
  </si>
  <si>
    <t>ТСН-2001.3-27. 27-47</t>
  </si>
  <si>
    <t>ТСН-2001.3-27-14</t>
  </si>
  <si>
    <t>7,1</t>
  </si>
  <si>
    <t>1.3-3-4</t>
  </si>
  <si>
    <t>Смеси асфальтобетонные дорожные горячие крупнозернистые, тип II</t>
  </si>
  <si>
    <t>ТСН-2001.1. Доп. 1-42. Р. 3, о. 3, поз. 4</t>
  </si>
  <si>
    <t>8</t>
  </si>
  <si>
    <t>3.27-47-4</t>
  </si>
  <si>
    <t>Устройство асфальтобетонных покрытий дорожек и тротуаров двухслойных верхний слой из песчаной асфальтобетонной смеси толщиной 3 см</t>
  </si>
  <si>
    <t>ТСН-2001.3 Доп. 55, Сб. 27, т. 47, поз. 4</t>
  </si>
  <si>
    <t>8,1</t>
  </si>
  <si>
    <t>1.3-3-11</t>
  </si>
  <si>
    <t>Смеси асфальтобетонные дорожные горячие песчаные, тип Д, марка III/  тип Д, марка II</t>
  </si>
  <si>
    <t>ТСН-2001.1. Доп. 1-42. Р. 3, о. 3, поз. 11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</si>
  <si>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</si>
  <si>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</si>
  <si>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</si>
  <si>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</si>
  <si>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</si>
  <si>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</si>
  <si>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</si>
  <si>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</si>
  <si>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</si>
  <si>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</si>
  <si>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</si>
  <si>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</si>
  <si>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</si>
  <si>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</si>
  <si>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</si>
  <si>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</si>
  <si>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</si>
  <si>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</si>
  <si>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</si>
  <si>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</si>
  <si>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</si>
  <si>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</si>
  <si>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</si>
  <si>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</si>
  <si>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</si>
  <si>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</si>
  <si>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</si>
  <si>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</si>
  <si>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</si>
  <si>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</si>
  <si>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</si>
  <si>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</si>
  <si>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</si>
  <si>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</si>
  <si>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</si>
  <si>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</si>
  <si>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</si>
  <si>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</si>
  <si>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</si>
  <si>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</si>
  <si>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</si>
  <si>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</si>
  <si>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</si>
  <si>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</si>
  <si>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</si>
  <si>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</si>
  <si>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Перевозка</t>
  </si>
  <si>
    <t>Перевозка грузов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</si>
  <si>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</si>
  <si>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</si>
  <si>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</si>
  <si>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</si>
  <si>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</si>
  <si>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</si>
  <si>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Замена бортового гранитного камня</t>
  </si>
  <si>
    <t>9</t>
  </si>
  <si>
    <t>6.68-53-1</t>
  </si>
  <si>
    <t>Разборка бортовых камней на бетонном основании</t>
  </si>
  <si>
    <t>100 м</t>
  </si>
  <si>
    <t>ТСН-2001.6. Доп. 1-42. Сб. 68, т. 53, поз. 1</t>
  </si>
  <si>
    <t>10</t>
  </si>
  <si>
    <t>11</t>
  </si>
  <si>
    <t>12</t>
  </si>
  <si>
    <t>13</t>
  </si>
  <si>
    <t>15.1-1200-01</t>
  </si>
  <si>
    <t>Лом бортовых камней, брусчатки, булыжных камней и прочие отходы изделий из природного камня, практически неопасный</t>
  </si>
  <si>
    <t>ТСН-2001.15 Доп. 56, Сб. 1, т. 1200, поз. 1</t>
  </si>
  <si>
    <t>14</t>
  </si>
  <si>
    <t>3.27-12-1</t>
  </si>
  <si>
    <t>Устройство подстилающих и выравнивающих слоев оснований из песка</t>
  </si>
  <si>
    <t>100 м3 материала основания (в плотном теле)</t>
  </si>
  <si>
    <t>ТСН-2001.3 Доп. 56, Сб. 27, т. 12, поз. 1</t>
  </si>
  <si>
    <t>ТСН-2001.3-27. 27-1...27-21</t>
  </si>
  <si>
    <t>ТСН-2001.3-27-1</t>
  </si>
  <si>
    <t>14,1</t>
  </si>
  <si>
    <t>1.1-1-766</t>
  </si>
  <si>
    <t>Песок для строительных работ, рядовой</t>
  </si>
  <si>
    <t>м3</t>
  </si>
  <si>
    <t>ТСН-2001.1. Доп. 1-42. Р. 1, о. 1, поз. 766</t>
  </si>
  <si>
    <t>15</t>
  </si>
  <si>
    <t>3.27-26-4</t>
  </si>
  <si>
    <t>Установка бортовых камней природных при других видах покрытий</t>
  </si>
  <si>
    <t>100 м бортового камня</t>
  </si>
  <si>
    <t>ТСН-2001.3 Доп. 53, Сб. 27, т. 26, поз. 4</t>
  </si>
  <si>
    <t>ТСН-2001.3-27. 27-26-4, 27-27, 27-28</t>
  </si>
  <si>
    <t>ТСН-2001.3-27-6</t>
  </si>
  <si>
    <t>15,1</t>
  </si>
  <si>
    <t>1.11-4-23</t>
  </si>
  <si>
    <t>Камни бортовые из гранита серого цвета, пиленые, сечение 300х150 мм</t>
  </si>
  <si>
    <t>м</t>
  </si>
  <si>
    <t>ТСН-2001.1. Доп. 1-42. Р. 11, о. 4, поз. 23</t>
  </si>
  <si>
    <t>16</t>
  </si>
  <si>
    <t>3.27-50-1</t>
  </si>
  <si>
    <t>Устройство покрытий из гранитных малоразмерных плит на цементно-песчаной подушке толщиной 50 мм</t>
  </si>
  <si>
    <t>100 м2</t>
  </si>
  <si>
    <t>ТСН-2001.3 Доп. 56, Сб. 27, т. 50, поз. 1</t>
  </si>
  <si>
    <t>ТСН-2001.3-27. 27-49...27-51</t>
  </si>
  <si>
    <t>ТСН-2001.3-27-16</t>
  </si>
  <si>
    <t>16,1</t>
  </si>
  <si>
    <t>1.11-1-268</t>
  </si>
  <si>
    <t>Плиты облицовочные гранитные пиленые, толщина 90-100 мм, месторождение: Мансуровское/100х100х100</t>
  </si>
  <si>
    <t>ТСН-2001.1. Доп. 1-42. Р. 11, о. 1, поз. 268</t>
  </si>
  <si>
    <t>)*1,8</t>
  </si>
  <si>
    <t>16,2</t>
  </si>
  <si>
    <t>1.3-2-19</t>
  </si>
  <si>
    <t>Смеси сухие монтажно-кладочные цементно-песчаные, В12,5 (М150), F100, крупность заполнителя не более 3,5 мм</t>
  </si>
  <si>
    <t>ТСН-2001.1. Доп. 1-42. Р. 3, о. 2, поз. 19</t>
  </si>
  <si>
    <t>17</t>
  </si>
  <si>
    <t>3.27-51-1</t>
  </si>
  <si>
    <t>Резка гранитных и бетонных малоразмерных плит в построечных условиях</t>
  </si>
  <si>
    <t>ТСН-2001.3. Доп. 1-42. Сб. 27, т. 51, поз. 1</t>
  </si>
  <si>
    <t>17,1</t>
  </si>
  <si>
    <t>1.7-3-75</t>
  </si>
  <si>
    <t>Диск отрезной с алмазным покрытием, диаметр 230 мм, высота сегмента 7 мм</t>
  </si>
  <si>
    <t>шт.</t>
  </si>
  <si>
    <t>ТСН-2001.1. Доп. 1-42. Р. 7, о. 3, поз. 75</t>
  </si>
  <si>
    <t>Устройство газона 15 см</t>
  </si>
  <si>
    <t>18</t>
  </si>
  <si>
    <t>СВОР</t>
  </si>
  <si>
    <t>Устройство газона посевного</t>
  </si>
  <si>
    <t>Материалы</t>
  </si>
  <si>
    <t>Материалы, изделия и конструкции</t>
  </si>
  <si>
    <t>19</t>
  </si>
  <si>
    <t>3.1-6-10</t>
  </si>
  <si>
    <t>Разработка грунта с погрузкой на автомобили-самосвалы экскаваторами с ковшом вместимостью 0,5 м3 группа грунтов 1-3</t>
  </si>
  <si>
    <t>100 м3 грунта</t>
  </si>
  <si>
    <t>ТСН-2001.3 Доп. 59, Сб. 1, т. 6, поз. 10</t>
  </si>
  <si>
    <t>ТСН-2001.3-1. 1-1...1-7</t>
  </si>
  <si>
    <t>ТСН-2001.3-1-1</t>
  </si>
  <si>
    <t>20</t>
  </si>
  <si>
    <t>3.1-51-1</t>
  </si>
  <si>
    <t>Разработка грунта вручную в траншеях глубиной до 2 м без креплений с откосами группа грунтов 1-3</t>
  </si>
  <si>
    <t>ТСН-2001.3. Доп. 1-42. Сб. 1, т. 51, поз. 1</t>
  </si>
  <si>
    <t>ТСН-2001.3-1. 1-49...1-55</t>
  </si>
  <si>
    <t>ТСН-2001.3-1-15</t>
  </si>
  <si>
    <t>21</t>
  </si>
  <si>
    <t>Разработка грунта с погрузкой на автомобили-самосвалы экскаваторами с ковшом вместимостью 0,5 м3 группа грунтов 1-3 /погрузка механизированная  от разработанного вручную грунта 90%</t>
  </si>
  <si>
    <t>ТСН-2001.3. Доп. 1-42. Сб. 1, т. 6, поз. 10</t>
  </si>
  <si>
    <t>22</t>
  </si>
  <si>
    <t>6.51-6-1</t>
  </si>
  <si>
    <t>Погрузка грунта вручную в автомобили-самосвалы с выгрузкой/ от разработанного вручную грунта 10%</t>
  </si>
  <si>
    <t>ТСН-2001.6. Доп. 1-42. Сб. 51, т. 6, поз. 1</t>
  </si>
  <si>
    <t>ТСН-2001.6-51. 51-6</t>
  </si>
  <si>
    <t>ТСН-2001.6-51-4</t>
  </si>
  <si>
    <t>23</t>
  </si>
  <si>
    <t>15.2-55-2</t>
  </si>
  <si>
    <t>Перевозка грунтов растительного слоя и торфов на расстояние до 55 км автосамосвалами грузоподъемностью до 20 т</t>
  </si>
  <si>
    <t>ТСН-2001.15 Доп. 54, Сб. 2, т. 55, поз. 2</t>
  </si>
  <si>
    <t>ТСН-2001.15-1. Перевозка грунта</t>
  </si>
  <si>
    <t>ТСН-2001.15-1-3</t>
  </si>
  <si>
    <t>24</t>
  </si>
  <si>
    <t>15.1-1102-01</t>
  </si>
  <si>
    <t>Отходы грунта при проведении открытых земляных работ практически неопасные</t>
  </si>
  <si>
    <t>ТСН-2001.15 Доп. 56, Сб. 1, т. 1102, поз. 1</t>
  </si>
  <si>
    <t>25</t>
  </si>
  <si>
    <t>3.47-26-3</t>
  </si>
  <si>
    <t>Подготовка почвы для устройства партерного и обыкновенного газонов с внесением растительной земли слоем 15 см механизированным способом</t>
  </si>
  <si>
    <t>ТСН-2001.3 Доп. 56, Сб. 47, т. 26, поз. 3</t>
  </si>
  <si>
    <t>ТСН-2001.3-47. 47-23...47-33</t>
  </si>
  <si>
    <t>ТСН-2001.3-47-4</t>
  </si>
  <si>
    <t>25,1</t>
  </si>
  <si>
    <t>1.4-6-1</t>
  </si>
  <si>
    <t>Земля растительная</t>
  </si>
  <si>
    <t>ТСН-2001.1. Доп. 1-42. Р. 4, о. 6, поз. 1</t>
  </si>
  <si>
    <t>26</t>
  </si>
  <si>
    <t>3.47-26-4</t>
  </si>
  <si>
    <t>Подготовка почвы для устройства партерного и обыкновенного газонов с внесением растительной земли слоем 15 см вручную</t>
  </si>
  <si>
    <t>ТСН-2001.3. Доп. 1-42. Сб. 47, т. 26, поз. 4</t>
  </si>
  <si>
    <t>26,1</t>
  </si>
  <si>
    <t>27</t>
  </si>
  <si>
    <t>3.47-26-6</t>
  </si>
  <si>
    <t>Посев газонов партерных, мавританских, и обыкновенных вручную</t>
  </si>
  <si>
    <t>ТСН-2001.3. Доп. 1-42. Сб. 47, т. 26, поз. 6</t>
  </si>
  <si>
    <t>27,1</t>
  </si>
  <si>
    <t>1.4-6-6</t>
  </si>
  <si>
    <t>Семена (смесь универсальная) газонных трав</t>
  </si>
  <si>
    <t>кг</t>
  </si>
  <si>
    <t>ТСН-2001.1. Доп. 1-42. Р. 4, о. 6, поз. 6</t>
  </si>
  <si>
    <t>НДС</t>
  </si>
  <si>
    <t>НДС,20%</t>
  </si>
  <si>
    <t>Итог с НДС</t>
  </si>
  <si>
    <t>Итого с НДС</t>
  </si>
  <si>
    <t>Новая переменная</t>
  </si>
  <si>
    <t>Базовый уровень цен</t>
  </si>
  <si>
    <t>Текущий уровень цен</t>
  </si>
  <si>
    <t>Сборник индексов</t>
  </si>
  <si>
    <t>ТСН-2001 МГЭ</t>
  </si>
  <si>
    <t>175</t>
  </si>
  <si>
    <t>Коэффициенты пересчета к ТСН-2001.13-2</t>
  </si>
  <si>
    <t>_OBSM_</t>
  </si>
  <si>
    <t>9999990008</t>
  </si>
  <si>
    <t>Трудозатраты рабочих</t>
  </si>
  <si>
    <t>чел.-ч.</t>
  </si>
  <si>
    <t>2.1-10-5</t>
  </si>
  <si>
    <t>ТСН-2001.2. Доп. 46. п.1-10-5 (101002)</t>
  </si>
  <si>
    <t>Компрессоры прицепные с двигателем внутреннего сгорания, производительность до 5 м3/мин, мощность двигателя до 29 кВт (39,4 л.с.)</t>
  </si>
  <si>
    <t>маш.-ч.</t>
  </si>
  <si>
    <t>2.1-30-54</t>
  </si>
  <si>
    <t>ТСН-2001.2. Доп. 1-42, п. 1-30-54 (308901)</t>
  </si>
  <si>
    <t>Молотки отбойные</t>
  </si>
  <si>
    <t>2.1-5-48</t>
  </si>
  <si>
    <t>ТСН-2001.2. Доп. 1-42, п. 1-5-48 (056003)</t>
  </si>
  <si>
    <t>Автогрейдеры, мощность 99-147 кВт (130-200 л.с.)</t>
  </si>
  <si>
    <t>9999990007</t>
  </si>
  <si>
    <t>Стоимость прочих машин (ЭСН)</t>
  </si>
  <si>
    <t>руб.</t>
  </si>
  <si>
    <t>2.1-18-42</t>
  </si>
  <si>
    <t>ТСН-2001.2. Доп. 43, п. 1-18-42 (184062)</t>
  </si>
  <si>
    <t>Автомобили-самосвалы для перевозки строительного мусора, грузоподъемность до 14 т</t>
  </si>
  <si>
    <t>2.1-5-2</t>
  </si>
  <si>
    <t>ТСН-2001.2. Доп. 55. п.1-5-2 (050102)</t>
  </si>
  <si>
    <t>Катки самоходные вибрационные, масса до 8 т</t>
  </si>
  <si>
    <t>1.1-1-46</t>
  </si>
  <si>
    <t>ТСН-2001.1. Доп. 1-42. Р. 1, о. 1, поз. 46</t>
  </si>
  <si>
    <t>Битумы нефтяные, дорожные жидкие, марка МГ, СГ</t>
  </si>
  <si>
    <t>2.1-2-1</t>
  </si>
  <si>
    <t>ТСН-2001.2. Доп. 1-42, п. 1-2-1 (020101)</t>
  </si>
  <si>
    <t>Тракторы на гусеничном ходу, мощность до 60 кВт (81 л.с.)</t>
  </si>
  <si>
    <t>2.1-5-15</t>
  </si>
  <si>
    <t>ТСН-2001.2. Доп. 1-42, п. 1-5-15 (050703)</t>
  </si>
  <si>
    <t>Катки прицепные пневмоколесные, масса до 50 т</t>
  </si>
  <si>
    <t>2.1-5-18</t>
  </si>
  <si>
    <t>ТСН-2001.2. Доп. 56. п.1-5-18 (050902)</t>
  </si>
  <si>
    <t>Машины поливомоечные, емкость цистерны до 8 м3</t>
  </si>
  <si>
    <t>2.1-5-7</t>
  </si>
  <si>
    <t>ТСН-2001.2. Доп. 55. п.1-5-7 (050301)</t>
  </si>
  <si>
    <t>Катки дорожные самоходные на пневмоколесном ходу, масса до 16 т</t>
  </si>
  <si>
    <t>1.1-1-118</t>
  </si>
  <si>
    <t>ТСН-2001.1. Доп. 1-42. Р. 1, о. 1, поз. 118</t>
  </si>
  <si>
    <t>Вода</t>
  </si>
  <si>
    <t>2.1-3-38</t>
  </si>
  <si>
    <t>ТСН-2001.2. Доп. 53. п.1-3-38 (032009)</t>
  </si>
  <si>
    <t>Краны на автомобильном ходу, грузоподъемность до 16 т</t>
  </si>
  <si>
    <t>1.3-1-38</t>
  </si>
  <si>
    <t>ТСН-2001.1. Доп. 1-42. Р. 3, о. 1, поз. 38</t>
  </si>
  <si>
    <t>Смеси бетонные, БСГ, тяжелого бетона на гранитном щебне, класс прочности В15 (М200); П3, фракция 5-20, F50-100, W0-2</t>
  </si>
  <si>
    <t>1.3-2-5</t>
  </si>
  <si>
    <t>ТСН-2001.1. Доп. 1-42. Р. 3, о. 2, поз. 5</t>
  </si>
  <si>
    <t>Растворы цементные, марка 100</t>
  </si>
  <si>
    <t>9999990006</t>
  </si>
  <si>
    <t>Стоимость прочих материалов (ЭСН)</t>
  </si>
  <si>
    <t>2.1-4-12</t>
  </si>
  <si>
    <t>ТСН-2001.2. Доп. 1-42, п. 1-4-12 (040205)</t>
  </si>
  <si>
    <t>Погрузчики на автомобильном ходу, грузоподъемность до 5 т</t>
  </si>
  <si>
    <t>2.1-30-75</t>
  </si>
  <si>
    <t>ТСН-2001.2. Доп. 1-42, п. 1-30-75 (370001)</t>
  </si>
  <si>
    <t>Станки для резки плит</t>
  </si>
  <si>
    <t>2.1-1-4</t>
  </si>
  <si>
    <t>ТСН-2001.2. Доп. 1-42, п. 1-1-4 (010105)</t>
  </si>
  <si>
    <t>Экскаваторы на гусеничном ходу гидравлические, объем ковша до 0,5 м3</t>
  </si>
  <si>
    <t>2.1-1-44</t>
  </si>
  <si>
    <t>ТСН-2001.2. Доп. 59. п.1-1-44 (012103)</t>
  </si>
  <si>
    <t>Бульдозеры гусеничные, мощность до 79 кВт (108 л.с.)</t>
  </si>
  <si>
    <t>ТСН-2001.2. Доп. 1-42, п. 1-1-44 (012103)</t>
  </si>
  <si>
    <t>2.1-18-39</t>
  </si>
  <si>
    <t>ТСН-2001.2. Доп. 43, п. 1-18-39 (184052)</t>
  </si>
  <si>
    <t>Автомобили-самосвалы для перевозки грунта, грузоподъемность до 14 т</t>
  </si>
  <si>
    <t>2.1-2-7</t>
  </si>
  <si>
    <t>ТСН-2001.2. Доп. 56. п.1-2-7 (021003)</t>
  </si>
  <si>
    <t>Тракторы колесные, мощность до 63 кВт (85 л.с.)</t>
  </si>
  <si>
    <t>5718400000</t>
  </si>
  <si>
    <t>Смеси асфальтобетонные</t>
  </si>
  <si>
    <t>5711400000</t>
  </si>
  <si>
    <t>Песок природный для строительных работ</t>
  </si>
  <si>
    <t>5715120000</t>
  </si>
  <si>
    <t>Камни бортовые из горных пород</t>
  </si>
  <si>
    <t>5714310000</t>
  </si>
  <si>
    <t>Гранитные малоразмерные плиты</t>
  </si>
  <si>
    <t>5745110000</t>
  </si>
  <si>
    <t>Смеси сухие цементно-песчаные</t>
  </si>
  <si>
    <t>3972590000</t>
  </si>
  <si>
    <t>Диски отрезные с алмазным покрытием</t>
  </si>
  <si>
    <t>9797020000</t>
  </si>
  <si>
    <t>9749950000</t>
  </si>
  <si>
    <t>Семена газонных трав</t>
  </si>
  <si>
    <t>"СОГЛАСОВАНО"</t>
  </si>
  <si>
    <t>"УТВЕРЖДАЮ"</t>
  </si>
  <si>
    <t>Форма № 4б</t>
  </si>
  <si>
    <t>"_____"________________ 2021 г.</t>
  </si>
  <si>
    <t>(наименование стройки и/или объекта)</t>
  </si>
  <si>
    <t>(наименование работ и затрат)</t>
  </si>
  <si>
    <t>В
базисном
уровне
цен</t>
  </si>
  <si>
    <t>В
текущем
уровне
цен</t>
  </si>
  <si>
    <t>Сметная стоимость</t>
  </si>
  <si>
    <t>Работы по монтажу оборудования</t>
  </si>
  <si>
    <t>Оборудование</t>
  </si>
  <si>
    <t>Прочие работы и затраты</t>
  </si>
  <si>
    <t>Средства на оплату труда</t>
  </si>
  <si>
    <t>Затраты труда</t>
  </si>
  <si>
    <t xml:space="preserve">Кроме того: </t>
  </si>
  <si>
    <t>№ п/п</t>
  </si>
  <si>
    <t>Шифр расценки и коды ресурсов</t>
  </si>
  <si>
    <t>Наименование работ и затрат</t>
  </si>
  <si>
    <t>Ед. изм.</t>
  </si>
  <si>
    <t>Кол-во
единиц</t>
  </si>
  <si>
    <t>Цена на
ед. изм.,
руб.</t>
  </si>
  <si>
    <t>Попра-
вочные
коэффи-
циенты</t>
  </si>
  <si>
    <t>Коэффи-
циенты
зимних
удорожа-
ний</t>
  </si>
  <si>
    <t>Коэффи-
циенты
(индек-
сы) пере-
счета,
нормы
НР и СП</t>
  </si>
  <si>
    <t>ВСЕГО
затрат в
текущем
уровне цен,
руб.</t>
  </si>
  <si>
    <t>Составлен(а) по ТСН-2001 с учетом Дополнения №: 59</t>
  </si>
  <si>
    <t>№ и период сборника коэффициентов (индексов) пересчета: ТСН-2001 МГЭ №175 апрель 2021 года и Коэффициенты пересчета к ТСН-2001.13-2 март 2021 года</t>
  </si>
  <si>
    <t>Всего в
ценах на
январь 2000 года,
руб.</t>
  </si>
  <si>
    <t>Всего по позиции:</t>
  </si>
  <si>
    <t>ЗП</t>
  </si>
  <si>
    <t>ЭМ</t>
  </si>
  <si>
    <t>в т.ч. ЗПМ</t>
  </si>
  <si>
    <t>НР от ЗП</t>
  </si>
  <si>
    <t>%</t>
  </si>
  <si>
    <t>СП от ЗП</t>
  </si>
  <si>
    <t>НР и СП от ЗПМ</t>
  </si>
  <si>
    <t>ЗТР</t>
  </si>
  <si>
    <t>чел-ч</t>
  </si>
  <si>
    <t>МР</t>
  </si>
  <si>
    <t xml:space="preserve">   Итого по ТСН-2001.16</t>
  </si>
  <si>
    <t xml:space="preserve">   Итого возвратных сумм</t>
  </si>
  <si>
    <t>)*1,8 [к нр )*1,8]</t>
  </si>
  <si>
    <t xml:space="preserve"> тыс.руб.</t>
  </si>
  <si>
    <t xml:space="preserve">Составил   </t>
  </si>
  <si>
    <t>(должность, подпись, инициалы, фамилия)</t>
  </si>
  <si>
    <t xml:space="preserve">Проверил   </t>
  </si>
  <si>
    <t>TYPE</t>
  </si>
  <si>
    <t>SOURCE_LINK</t>
  </si>
  <si>
    <t>RABMAT_EX</t>
  </si>
  <si>
    <t>TIP_RAB</t>
  </si>
  <si>
    <t>TYPE_TRUD</t>
  </si>
  <si>
    <t>TAB</t>
  </si>
  <si>
    <t>NAME</t>
  </si>
  <si>
    <t>EDIZM</t>
  </si>
  <si>
    <t>KOLL</t>
  </si>
  <si>
    <t>UCH</t>
  </si>
  <si>
    <t>PRICE_B</t>
  </si>
  <si>
    <t>PRICE_ED</t>
  </si>
  <si>
    <t>STOIM_B</t>
  </si>
  <si>
    <t>PRICE_C</t>
  </si>
  <si>
    <t>STOIM_C</t>
  </si>
  <si>
    <t>ZPM_B</t>
  </si>
  <si>
    <t>ZPM_ED</t>
  </si>
  <si>
    <t>STOIM_ZPM_B</t>
  </si>
  <si>
    <t>ZPM_C</t>
  </si>
  <si>
    <t>STOIM_ZPM_C</t>
  </si>
  <si>
    <t>CRC_GR_RES</t>
  </si>
  <si>
    <t>CRC_B</t>
  </si>
  <si>
    <t>CRC_C</t>
  </si>
  <si>
    <t>RABMAT</t>
  </si>
  <si>
    <t>BuildingFinished</t>
  </si>
  <si>
    <t>Trud</t>
  </si>
  <si>
    <t>Mash</t>
  </si>
  <si>
    <t>Mat</t>
  </si>
  <si>
    <t>MatZak</t>
  </si>
  <si>
    <t>Oborud</t>
  </si>
  <si>
    <t>OborudZak</t>
  </si>
  <si>
    <t>ZeroStoim</t>
  </si>
  <si>
    <t>NegativeKoll</t>
  </si>
  <si>
    <t>ReUnionKollResurcy</t>
  </si>
  <si>
    <t>UnionOneUchRes</t>
  </si>
  <si>
    <t>IdLevel</t>
  </si>
  <si>
    <t>Ресурсная ведомость на</t>
  </si>
  <si>
    <t>Обоснование</t>
  </si>
  <si>
    <t>Наименование</t>
  </si>
  <si>
    <t>Единица измерения</t>
  </si>
  <si>
    <t>Объем</t>
  </si>
  <si>
    <t>Текущая</t>
  </si>
  <si>
    <t>цена</t>
  </si>
  <si>
    <t>стоимость</t>
  </si>
  <si>
    <t xml:space="preserve">Материальные ресурсы </t>
  </si>
  <si>
    <t xml:space="preserve">Итого материальные ресурсы </t>
  </si>
  <si>
    <t>___________________________</t>
  </si>
  <si>
    <t>" ___ " ___________ 20 ___ г.</t>
  </si>
  <si>
    <t>Количество</t>
  </si>
  <si>
    <t>Примечание</t>
  </si>
  <si>
    <t>Заказчик _________________</t>
  </si>
  <si>
    <t>Подрядчик 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</si>
</sst>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[Red]\-\ #,##0.00"/>
    <numFmt numFmtId="165" formatCode="#,##0.00####;[Red]\-\ #,##0.00####"/>
  </numFmts>
  <fonts count="21" x14ac:knownFonts="1">
    <font>
      <sz val="10"/>
      <name val="Arial"/>
      <charset val="204"/>
    </font>
    <font>
      <b/>
      <sz val="10"/>
      <color indexed="12"/>
      <name val="Arial"/>
      <family val="2"/>
      <charset val="204"/>
    </font>
    <font>
      <sz val="10"/>
      <color indexed="18"/>
      <name val="Arial"/>
      <family val="2"/>
      <charset val="204"/>
    </font>
    <font>
      <b/>
      <sz val="10"/>
      <color indexed="16"/>
      <name val="Arial"/>
      <family val="2"/>
      <charset val="204"/>
    </font>
    <font>
      <b/>
      <sz val="10"/>
      <color indexed="20"/>
      <name val="Arial"/>
      <family val="2"/>
      <charset val="204"/>
    </font>
    <font>
      <b/>
      <sz val="10"/>
      <color indexed="17"/>
      <name val="Arial"/>
      <family val="2"/>
      <charset val="204"/>
    </font>
    <font>
      <b/>
      <sz val="10"/>
      <color indexed="14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14"/>
      <name val="Arial"/>
      <family val="2"/>
      <charset val="204"/>
    </font>
    <font>
      <sz val="10"/>
      <color indexed="16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b/>
      <sz val="13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1"/>
      <name val="Arial"/>
      <family val="2"/>
      <charset val="204"/>
    </font>
    <font>
      <sz val="13"/>
      <name val="Arial"/>
      <family val="2"/>
      <charset val="204"/>
    </font>
    <font>
      <i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10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2" fillId="0" borderId="0" xfId="0" applyFont="1"/>
    <xf numFmtId="0" fontId="13" fillId="0" borderId="0" xfId="0" applyFont="1" applyAlignment="1">
      <alignment horizontal="right"/>
    </xf>
    <xf numFmtId="0" fontId="13" fillId="0" borderId="0" xfId="0" applyFont="1"/>
    <xf numFmtId="0" fontId="14" fillId="0" borderId="0" xfId="0" applyFont="1" applyAlignment="1"/>
    <xf numFmtId="0" fontId="13" fillId="0" borderId="0" xfId="0" applyFont="1" applyAlignment="1"/>
    <xf numFmtId="0" fontId="13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left" wrapText="1"/>
    </xf>
    <xf numFmtId="0" fontId="13" fillId="0" borderId="0" xfId="0" applyFont="1" applyAlignment="1">
      <alignment horizontal="center" vertical="center" wrapText="1"/>
    </xf>
    <xf numFmtId="164" fontId="18" fillId="0" borderId="0" xfId="0" applyNumberFormat="1" applyFont="1"/>
    <xf numFmtId="0" fontId="18" fillId="0" borderId="0" xfId="0" applyFont="1"/>
    <xf numFmtId="164" fontId="13" fillId="0" borderId="0" xfId="0" applyNumberFormat="1" applyFont="1"/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wrapText="1"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 wrapText="1"/>
    </xf>
    <xf numFmtId="0" fontId="20" fillId="0" borderId="0" xfId="0" applyFont="1" applyAlignment="1">
      <alignment horizontal="right" wrapText="1"/>
    </xf>
    <xf numFmtId="0" fontId="13" fillId="0" borderId="0" xfId="0" applyFont="1" applyAlignment="1">
      <alignment horizontal="right" wrapText="1"/>
    </xf>
    <xf numFmtId="165" fontId="13" fillId="0" borderId="0" xfId="0" applyNumberFormat="1" applyFont="1" applyAlignment="1">
      <alignment horizontal="right"/>
    </xf>
    <xf numFmtId="164" fontId="13" fillId="0" borderId="0" xfId="0" applyNumberFormat="1" applyFont="1" applyAlignment="1">
      <alignment horizontal="right"/>
    </xf>
    <xf numFmtId="164" fontId="0" fillId="0" borderId="0" xfId="0" applyNumberFormat="1"/>
    <xf numFmtId="0" fontId="13" fillId="0" borderId="5" xfId="0" applyFont="1" applyBorder="1" applyAlignment="1">
      <alignment horizontal="left" vertical="top"/>
    </xf>
    <xf numFmtId="0" fontId="13" fillId="0" borderId="5" xfId="0" applyFont="1" applyBorder="1" applyAlignment="1">
      <alignment horizontal="left" vertical="top" wrapText="1"/>
    </xf>
    <xf numFmtId="0" fontId="20" fillId="0" borderId="5" xfId="0" applyFont="1" applyBorder="1" applyAlignment="1">
      <alignment horizontal="right" wrapText="1"/>
    </xf>
    <xf numFmtId="0" fontId="13" fillId="0" borderId="5" xfId="0" applyFont="1" applyBorder="1" applyAlignment="1">
      <alignment horizontal="right"/>
    </xf>
    <xf numFmtId="165" fontId="13" fillId="0" borderId="5" xfId="0" applyNumberFormat="1" applyFont="1" applyBorder="1" applyAlignment="1">
      <alignment horizontal="right"/>
    </xf>
    <xf numFmtId="0" fontId="13" fillId="0" borderId="5" xfId="0" applyFont="1" applyBorder="1" applyAlignment="1">
      <alignment horizontal="right" wrapText="1"/>
    </xf>
    <xf numFmtId="164" fontId="13" fillId="0" borderId="5" xfId="0" applyNumberFormat="1" applyFont="1" applyBorder="1" applyAlignment="1">
      <alignment horizontal="right"/>
    </xf>
    <xf numFmtId="0" fontId="0" fillId="0" borderId="6" xfId="0" applyBorder="1"/>
    <xf numFmtId="0" fontId="18" fillId="0" borderId="6" xfId="0" applyFont="1" applyBorder="1"/>
    <xf numFmtId="0" fontId="11" fillId="0" borderId="0" xfId="0" applyFont="1" applyAlignment="1">
      <alignment wrapText="1"/>
    </xf>
    <xf numFmtId="164" fontId="20" fillId="0" borderId="0" xfId="0" applyNumberFormat="1" applyFont="1" applyAlignment="1">
      <alignment horizontal="right"/>
    </xf>
    <xf numFmtId="0" fontId="13" fillId="0" borderId="0" xfId="0" quotePrefix="1" applyFont="1" applyAlignment="1">
      <alignment horizontal="right" wrapText="1"/>
    </xf>
    <xf numFmtId="0" fontId="18" fillId="0" borderId="0" xfId="0" applyFont="1" applyAlignment="1">
      <alignment horizontal="right"/>
    </xf>
    <xf numFmtId="0" fontId="13" fillId="0" borderId="1" xfId="0" applyFont="1" applyBorder="1"/>
    <xf numFmtId="0" fontId="13" fillId="0" borderId="3" xfId="0" applyFont="1" applyBorder="1" applyAlignment="1">
      <alignment horizontal="right"/>
    </xf>
    <xf numFmtId="49" fontId="13" fillId="0" borderId="3" xfId="0" applyNumberFormat="1" applyFont="1" applyBorder="1" applyAlignment="1">
      <alignment horizontal="left" vertical="top" wrapText="1"/>
    </xf>
    <xf numFmtId="0" fontId="13" fillId="0" borderId="3" xfId="0" applyFont="1" applyBorder="1" applyAlignment="1">
      <alignment horizontal="left" wrapText="1"/>
    </xf>
    <xf numFmtId="0" fontId="13" fillId="0" borderId="3" xfId="0" applyFont="1" applyBorder="1" applyAlignment="1">
      <alignment horizontal="right" wrapText="1"/>
    </xf>
    <xf numFmtId="164" fontId="13" fillId="0" borderId="3" xfId="0" applyNumberFormat="1" applyFont="1" applyBorder="1" applyAlignment="1">
      <alignment horizontal="right" wrapText="1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right"/>
    </xf>
    <xf numFmtId="0" fontId="13" fillId="0" borderId="4" xfId="0" applyFont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3" fillId="0" borderId="3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wrapText="1"/>
    </xf>
    <xf numFmtId="0" fontId="13" fillId="0" borderId="4" xfId="0" applyFont="1" applyBorder="1" applyAlignment="1">
      <alignment horizontal="right" wrapText="1"/>
    </xf>
    <xf numFmtId="0" fontId="13" fillId="0" borderId="4" xfId="0" applyFont="1" applyBorder="1" applyAlignment="1">
      <alignment horizontal="right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left"/>
    </xf>
    <xf numFmtId="0" fontId="12" fillId="0" borderId="2" xfId="0" applyFont="1" applyBorder="1" applyAlignment="1">
      <alignment horizontal="center"/>
    </xf>
    <xf numFmtId="0" fontId="13" fillId="0" borderId="0" xfId="0" applyFont="1" applyAlignment="1">
      <alignment horizontal="left" wrapText="1"/>
    </xf>
    <xf numFmtId="164" fontId="13" fillId="0" borderId="0" xfId="0" applyNumberFormat="1" applyFont="1" applyAlignment="1">
      <alignment horizontal="right"/>
    </xf>
    <xf numFmtId="0" fontId="18" fillId="0" borderId="0" xfId="0" applyFont="1" applyAlignment="1">
      <alignment horizontal="left" wrapText="1"/>
    </xf>
    <xf numFmtId="164" fontId="18" fillId="0" borderId="0" xfId="0" applyNumberFormat="1" applyFont="1" applyAlignment="1">
      <alignment horizontal="right"/>
    </xf>
    <xf numFmtId="0" fontId="18" fillId="0" borderId="0" xfId="0" applyFont="1" applyAlignment="1">
      <alignment horizontal="right"/>
    </xf>
    <xf numFmtId="164" fontId="18" fillId="0" borderId="6" xfId="0" applyNumberFormat="1" applyFont="1" applyBorder="1" applyAlignment="1">
      <alignment horizontal="right"/>
    </xf>
    <xf numFmtId="0" fontId="14" fillId="0" borderId="0" xfId="0" applyFont="1" applyAlignment="1">
      <alignment horizontal="center" wrapText="1"/>
    </xf>
    <xf numFmtId="0" fontId="13" fillId="0" borderId="1" xfId="0" applyFont="1" applyBorder="1" applyAlignment="1">
      <alignment horizontal="left" wrapText="1"/>
    </xf>
    <xf numFmtId="0" fontId="13" fillId="0" borderId="0" xfId="0" applyFont="1" applyFill="1" applyAlignment="1">
      <alignment horizontal="left"/>
    </xf>
    <xf numFmtId="0" fontId="13" fillId="0" borderId="0" xfId="1" applyFont="1" applyFill="1" applyAlignment="1">
      <alignment horizontal="left"/>
    </xf>
    <xf numFmtId="0" fontId="17" fillId="0" borderId="1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0" fillId="0" borderId="0" xfId="0" applyAlignment="1"/>
    <xf numFmtId="0" fontId="18" fillId="0" borderId="0" xfId="0" applyFont="1" applyAlignment="1">
      <alignment horizontal="left"/>
    </xf>
    <xf numFmtId="0" fontId="13" fillId="0" borderId="0" xfId="0" applyFont="1" applyBorder="1" applyAlignment="1">
      <alignment horizontal="left" wrapText="1"/>
    </xf>
    <xf numFmtId="0" fontId="13" fillId="0" borderId="0" xfId="0" applyFont="1" applyAlignment="1">
      <alignment horizontal="right"/>
    </xf>
    <xf numFmtId="0" fontId="15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15" fillId="0" borderId="0" xfId="0" applyFont="1" applyAlignment="1">
      <alignment horizontal="left"/>
    </xf>
    <xf numFmtId="0" fontId="18" fillId="0" borderId="3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right"/>
    </xf>
    <xf numFmtId="164" fontId="18" fillId="0" borderId="3" xfId="0" applyNumberFormat="1" applyFont="1" applyBorder="1" applyAlignment="1">
      <alignment horizontal="right"/>
    </xf>
    <xf numFmtId="0" fontId="14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wrapText="1"/>
    </xf>
    <xf numFmtId="0" fontId="18" fillId="0" borderId="0" xfId="0" applyFont="1" applyBorder="1" applyAlignment="1">
      <alignment horizontal="right"/>
    </xf>
    <xf numFmtId="0" fontId="15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</cellXfs>
  <cellStyles count="2">
    <cellStyle name="Обычный" xfId="0" builtinId="0"/>
    <cellStyle name="Обычный 4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294"/>
  <sheetViews>
    <sheetView zoomScaleNormal="100" workbookViewId="0"/>
  </sheetViews>
  <sheetFormatPr defaultRowHeight="12.75" x14ac:dyDescent="0.2"/>
  <cols>
    <col min="1" max="1" width="5.7109375" customWidth="1"/>
    <col min="2" max="2" width="11.7109375" customWidth="1"/>
    <col min="3" max="3" width="40.7109375" customWidth="1"/>
    <col min="4" max="4" width="11.7109375" customWidth="1"/>
    <col min="5" max="5" width="10.140625" bestFit="1" customWidth="1"/>
    <col min="6" max="6" width="9" bestFit="1" customWidth="1"/>
    <col min="7" max="7" width="8.85546875" bestFit="1" customWidth="1"/>
    <col min="8" max="8" width="9.85546875" bestFit="1" customWidth="1"/>
    <col min="9" max="9" width="11.28515625" bestFit="1" customWidth="1"/>
    <col min="10" max="10" width="10.28515625" bestFit="1" customWidth="1"/>
    <col min="11" max="11" width="11.28515625" bestFit="1" customWidth="1"/>
    <col min="15" max="30" width="0" hidden="1" customWidth="1"/>
    <col min="31" max="31" width="129.7109375" hidden="1" customWidth="1"/>
    <col min="32" max="36" width="0" hidden="1" customWidth="1"/>
  </cols>
  <sheetData>
    <row r="1" spans="1:11" x14ac:dyDescent="0.2">
      <c r="A1" s="11" t="str">
        <f>Source!B1</f>
        <v>Smeta.RU  (495) 974-1589</v>
      </c>
    </row>
    <row r="2" spans="1:11" ht="14.25" x14ac:dyDescent="0.2">
      <c r="A2" s="12"/>
      <c r="B2" s="12"/>
      <c r="C2" s="12"/>
      <c r="D2" s="12"/>
      <c r="E2" s="12"/>
      <c r="F2" s="12"/>
      <c r="G2" s="12"/>
      <c r="H2" s="12"/>
      <c r="I2" s="12"/>
      <c r="J2" s="80" t="s">
        <v>350</v>
      </c>
      <c r="K2" s="80"/>
    </row>
    <row r="3" spans="1:11" ht="16.5" x14ac:dyDescent="0.25">
      <c r="A3" s="14"/>
      <c r="B3" s="83" t="s">
        <v>348</v>
      </c>
      <c r="C3" s="83"/>
      <c r="D3" s="83"/>
      <c r="E3" s="83"/>
      <c r="F3" s="13"/>
      <c r="G3" s="83" t="s">
        <v>349</v>
      </c>
      <c r="H3" s="83"/>
      <c r="I3" s="83"/>
      <c r="J3" s="83"/>
      <c r="K3" s="83"/>
    </row>
    <row r="4" spans="1:11" ht="14.25" x14ac:dyDescent="0.2">
      <c r="A4" s="13"/>
      <c r="B4" s="63"/>
      <c r="C4" s="63"/>
      <c r="D4" s="63"/>
      <c r="E4" s="63"/>
      <c r="F4" s="13"/>
      <c r="G4" s="63"/>
      <c r="H4" s="63"/>
      <c r="I4" s="63"/>
      <c r="J4" s="63"/>
      <c r="K4" s="63"/>
    </row>
    <row r="5" spans="1:11" ht="14.25" x14ac:dyDescent="0.2">
      <c r="A5" s="15"/>
      <c r="B5" s="15"/>
      <c r="C5" s="16"/>
      <c r="D5" s="16"/>
      <c r="E5" s="16"/>
      <c r="F5" s="13"/>
      <c r="G5" s="17"/>
      <c r="H5" s="16"/>
      <c r="I5" s="16"/>
      <c r="J5" s="16"/>
      <c r="K5" s="17"/>
    </row>
    <row r="6" spans="1:11" ht="14.25" x14ac:dyDescent="0.2">
      <c r="A6" s="17"/>
      <c r="B6" s="63" t="str">
        <f>CONCATENATE("______________________ ", IF(Source!AL12&lt;&gt;"", Source!AL12, ""))</f>
        <v xml:space="preserve">______________________ </v>
      </c>
      <c r="C6" s="63"/>
      <c r="D6" s="63"/>
      <c r="E6" s="63"/>
      <c r="F6" s="13"/>
      <c r="G6" s="63" t="str">
        <f>CONCATENATE("______________________ ", IF(Source!AH12&lt;&gt;"", Source!AH12, ""))</f>
        <v xml:space="preserve">______________________ </v>
      </c>
      <c r="H6" s="63"/>
      <c r="I6" s="63"/>
      <c r="J6" s="63"/>
      <c r="K6" s="63"/>
    </row>
    <row r="7" spans="1:11" ht="14.25" x14ac:dyDescent="0.2">
      <c r="A7" s="18"/>
      <c r="B7" s="79" t="s">
        <v>351</v>
      </c>
      <c r="C7" s="79"/>
      <c r="D7" s="79"/>
      <c r="E7" s="79"/>
      <c r="F7" s="13"/>
      <c r="G7" s="79" t="s">
        <v>351</v>
      </c>
      <c r="H7" s="79"/>
      <c r="I7" s="79"/>
      <c r="J7" s="79"/>
      <c r="K7" s="79"/>
    </row>
    <row r="9" spans="1:11" ht="14.25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1" ht="15.75" x14ac:dyDescent="0.25">
      <c r="A10" s="81" t="str">
        <f>IF(Source!G12&lt;&gt;"Новый объект", Source!G12, "")</f>
        <v>Ремонт АБП в Новослободском парке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</row>
    <row r="11" spans="1:11" x14ac:dyDescent="0.2">
      <c r="A11" s="64" t="s">
        <v>352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</row>
    <row r="12" spans="1:11" ht="14.25" x14ac:dyDescent="0.2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1:11" ht="15.75" x14ac:dyDescent="0.25">
      <c r="A13" s="81" t="str">
        <f>CONCATENATE( "ЛОКАЛЬНАЯ СМЕТА № ",IF(Source!F20&lt;&gt;"Новая локальная смета", Source!F20, ""))</f>
        <v xml:space="preserve">ЛОКАЛЬНАЯ СМЕТА № 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</row>
    <row r="14" spans="1:11" ht="14.25" x14ac:dyDescent="0.2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ht="18" x14ac:dyDescent="0.25">
      <c r="A15" s="75" t="str">
        <f>IF(Source!G20&lt;&gt;"Новая локальная смета", Source!G20, "")</f>
        <v/>
      </c>
      <c r="B15" s="75"/>
      <c r="C15" s="75"/>
      <c r="D15" s="75"/>
      <c r="E15" s="75"/>
      <c r="F15" s="75"/>
      <c r="G15" s="75"/>
      <c r="H15" s="75"/>
      <c r="I15" s="75"/>
      <c r="J15" s="75"/>
      <c r="K15" s="75"/>
    </row>
    <row r="16" spans="1:11" x14ac:dyDescent="0.2">
      <c r="A16" s="76" t="s">
        <v>353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</row>
    <row r="17" spans="1:31" ht="14.25" x14ac:dyDescent="0.2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31" ht="14.25" x14ac:dyDescent="0.2">
      <c r="A18" s="72" t="str">
        <f>CONCATENATE( "Основание: чертежи № ", Source!J20)</f>
        <v xml:space="preserve">Основание: чертежи № 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</row>
    <row r="19" spans="1:31" ht="14.25" x14ac:dyDescent="0.2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</row>
    <row r="20" spans="1:31" ht="57" x14ac:dyDescent="0.2">
      <c r="A20" s="13"/>
      <c r="B20" s="13"/>
      <c r="C20" s="13"/>
      <c r="D20" s="13"/>
      <c r="E20" s="13"/>
      <c r="F20" s="13"/>
      <c r="G20" s="13"/>
      <c r="H20" s="13"/>
      <c r="I20" s="20" t="s">
        <v>354</v>
      </c>
      <c r="J20" s="20" t="s">
        <v>355</v>
      </c>
      <c r="K20" s="13"/>
    </row>
    <row r="21" spans="1:31" ht="15" x14ac:dyDescent="0.25">
      <c r="A21" s="13"/>
      <c r="B21" s="13"/>
      <c r="C21" s="13"/>
      <c r="D21" s="13"/>
      <c r="E21" s="78" t="s">
        <v>356</v>
      </c>
      <c r="F21" s="78"/>
      <c r="G21" s="78"/>
      <c r="H21" s="78"/>
      <c r="I21" s="21">
        <f>(Source!F233/1000)</f>
        <v>367.35563999999999</v>
      </c>
      <c r="J21" s="21">
        <f>(Source!P233/1000)</f>
        <v>1318.01224</v>
      </c>
      <c r="K21" s="22" t="s">
        <v>390</v>
      </c>
    </row>
    <row r="22" spans="1:31" ht="14.25" x14ac:dyDescent="0.2">
      <c r="A22" s="13"/>
      <c r="B22" s="13"/>
      <c r="C22" s="13"/>
      <c r="D22" s="13"/>
      <c r="E22" s="63" t="s">
        <v>58</v>
      </c>
      <c r="F22" s="63"/>
      <c r="G22" s="63"/>
      <c r="H22" s="63"/>
      <c r="I22" s="23">
        <f>(Source!F220)/1000</f>
        <v>298.67796000000004</v>
      </c>
      <c r="J22" s="23">
        <f>(Source!P220)/1000</f>
        <v>1026.1988799999999</v>
      </c>
      <c r="K22" s="13" t="s">
        <v>390</v>
      </c>
    </row>
    <row r="23" spans="1:31" ht="14.25" x14ac:dyDescent="0.2">
      <c r="A23" s="13"/>
      <c r="B23" s="13"/>
      <c r="C23" s="13"/>
      <c r="D23" s="13"/>
      <c r="E23" s="63" t="s">
        <v>357</v>
      </c>
      <c r="F23" s="63"/>
      <c r="G23" s="63"/>
      <c r="H23" s="63"/>
      <c r="I23" s="23">
        <f>(Source!F221)/1000</f>
        <v>0</v>
      </c>
      <c r="J23" s="23">
        <f>(Source!P221)/1000</f>
        <v>0</v>
      </c>
      <c r="K23" s="13" t="s">
        <v>390</v>
      </c>
    </row>
    <row r="24" spans="1:31" ht="14.25" x14ac:dyDescent="0.2">
      <c r="A24" s="13"/>
      <c r="B24" s="13"/>
      <c r="C24" s="13"/>
      <c r="D24" s="13"/>
      <c r="E24" s="63" t="s">
        <v>358</v>
      </c>
      <c r="F24" s="63"/>
      <c r="G24" s="63"/>
      <c r="H24" s="63"/>
      <c r="I24" s="23">
        <f>(Source!F212)/1000</f>
        <v>0</v>
      </c>
      <c r="J24" s="23">
        <f>(Source!P212)/1000</f>
        <v>0</v>
      </c>
      <c r="K24" s="13" t="s">
        <v>390</v>
      </c>
    </row>
    <row r="25" spans="1:31" ht="14.25" x14ac:dyDescent="0.2">
      <c r="A25" s="13"/>
      <c r="B25" s="13"/>
      <c r="C25" s="13"/>
      <c r="D25" s="13"/>
      <c r="E25" s="63" t="s">
        <v>359</v>
      </c>
      <c r="F25" s="63"/>
      <c r="G25" s="63"/>
      <c r="H25" s="63"/>
      <c r="I25" s="23">
        <f>(Source!F222+Source!F223)/1000</f>
        <v>7.45174</v>
      </c>
      <c r="J25" s="23">
        <f>(Source!P222+Source!P223)/1000</f>
        <v>72.144649999999999</v>
      </c>
      <c r="K25" s="13" t="s">
        <v>390</v>
      </c>
    </row>
    <row r="26" spans="1:31" ht="14.25" x14ac:dyDescent="0.2">
      <c r="A26" s="13"/>
      <c r="B26" s="13"/>
      <c r="C26" s="13"/>
      <c r="D26" s="13"/>
      <c r="E26" s="63" t="s">
        <v>360</v>
      </c>
      <c r="F26" s="63"/>
      <c r="G26" s="63"/>
      <c r="H26" s="63"/>
      <c r="I26" s="23">
        <f>(Source!F218+ Source!F217)/1000</f>
        <v>4.4956800000000001</v>
      </c>
      <c r="J26" s="23">
        <f>((Source!P218 + Source!P217)/1000)</f>
        <v>112.97367000000001</v>
      </c>
      <c r="K26" s="13" t="s">
        <v>390</v>
      </c>
    </row>
    <row r="27" spans="1:31" ht="14.25" x14ac:dyDescent="0.2">
      <c r="A27" s="13"/>
      <c r="B27" s="13"/>
      <c r="C27" s="13"/>
      <c r="D27" s="13"/>
      <c r="E27" s="63" t="s">
        <v>361</v>
      </c>
      <c r="F27" s="63"/>
      <c r="G27" s="63"/>
      <c r="H27" s="63"/>
      <c r="I27" s="23">
        <f>Source!F225</f>
        <v>375.46125959999995</v>
      </c>
      <c r="J27" s="23"/>
      <c r="K27" s="13" t="s">
        <v>265</v>
      </c>
    </row>
    <row r="28" spans="1:31" ht="14.25" hidden="1" x14ac:dyDescent="0.2">
      <c r="A28" s="13"/>
      <c r="B28" s="13"/>
      <c r="C28" s="13"/>
      <c r="D28" s="13"/>
      <c r="E28" s="73" t="s">
        <v>362</v>
      </c>
      <c r="F28" s="73"/>
      <c r="G28" s="73"/>
      <c r="H28" s="73"/>
      <c r="I28" s="23"/>
      <c r="J28" s="23"/>
      <c r="K28" s="13"/>
    </row>
    <row r="29" spans="1:31" ht="14.25" hidden="1" x14ac:dyDescent="0.2">
      <c r="A29" s="13"/>
      <c r="B29" s="13"/>
      <c r="C29" s="13"/>
      <c r="D29" s="13"/>
      <c r="E29" s="74" t="s">
        <v>112</v>
      </c>
      <c r="F29" s="74"/>
      <c r="G29" s="74"/>
      <c r="H29" s="74"/>
      <c r="I29" s="23">
        <f>SUM(Y35:Y285)/1000</f>
        <v>0</v>
      </c>
      <c r="J29" s="23">
        <f>SUM(Z35:Z285)/1000</f>
        <v>0</v>
      </c>
      <c r="K29" s="13" t="s">
        <v>390</v>
      </c>
    </row>
    <row r="30" spans="1:31" ht="14.25" x14ac:dyDescent="0.2">
      <c r="A30" s="13"/>
      <c r="B30" s="13"/>
      <c r="C30" s="13"/>
      <c r="D30" s="13"/>
      <c r="E30" s="13"/>
      <c r="F30" s="17"/>
      <c r="G30" s="17"/>
      <c r="H30" s="17"/>
      <c r="I30" s="23"/>
      <c r="J30" s="23"/>
      <c r="K30" s="13"/>
    </row>
    <row r="31" spans="1:31" ht="14.25" x14ac:dyDescent="0.2">
      <c r="A31" s="13" t="s">
        <v>373</v>
      </c>
      <c r="B31" s="13"/>
      <c r="C31" s="13"/>
      <c r="D31" s="13"/>
      <c r="E31" s="13"/>
      <c r="F31" s="17"/>
      <c r="G31" s="17"/>
      <c r="H31" s="17"/>
      <c r="I31" s="23"/>
      <c r="J31" s="23"/>
      <c r="K31" s="13"/>
    </row>
    <row r="32" spans="1:31" ht="28.5" x14ac:dyDescent="0.2">
      <c r="A32" s="72" t="s">
        <v>374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AE32" s="26" t="s">
        <v>374</v>
      </c>
    </row>
    <row r="33" spans="1:22" ht="99.75" x14ac:dyDescent="0.2">
      <c r="A33" s="24" t="s">
        <v>363</v>
      </c>
      <c r="B33" s="24" t="s">
        <v>364</v>
      </c>
      <c r="C33" s="24" t="s">
        <v>365</v>
      </c>
      <c r="D33" s="24" t="s">
        <v>366</v>
      </c>
      <c r="E33" s="24" t="s">
        <v>367</v>
      </c>
      <c r="F33" s="24" t="s">
        <v>368</v>
      </c>
      <c r="G33" s="25" t="s">
        <v>369</v>
      </c>
      <c r="H33" s="25" t="s">
        <v>370</v>
      </c>
      <c r="I33" s="24" t="s">
        <v>375</v>
      </c>
      <c r="J33" s="24" t="s">
        <v>371</v>
      </c>
      <c r="K33" s="24" t="s">
        <v>372</v>
      </c>
    </row>
    <row r="34" spans="1:22" ht="14.25" x14ac:dyDescent="0.2">
      <c r="A34" s="24">
        <v>1</v>
      </c>
      <c r="B34" s="24">
        <v>2</v>
      </c>
      <c r="C34" s="24">
        <v>3</v>
      </c>
      <c r="D34" s="24">
        <v>4</v>
      </c>
      <c r="E34" s="24">
        <v>5</v>
      </c>
      <c r="F34" s="24">
        <v>6</v>
      </c>
      <c r="G34" s="24">
        <v>7</v>
      </c>
      <c r="H34" s="24">
        <v>8</v>
      </c>
      <c r="I34" s="24">
        <v>9</v>
      </c>
      <c r="J34" s="24">
        <v>10</v>
      </c>
      <c r="K34" s="24">
        <v>11</v>
      </c>
    </row>
    <row r="36" spans="1:22" ht="16.5" x14ac:dyDescent="0.25">
      <c r="A36" s="71" t="str">
        <f>CONCATENATE("Раздел: ",IF(Source!G24&lt;&gt;"Новый раздел", Source!G24, ""))</f>
        <v>Раздел: Ремонт АБП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</row>
    <row r="37" spans="1:22" ht="14.25" x14ac:dyDescent="0.2">
      <c r="A37" s="34" t="str">
        <f>Source!E28</f>
        <v>1</v>
      </c>
      <c r="B37" s="35" t="str">
        <f>Source!F28</f>
        <v/>
      </c>
      <c r="C37" s="35" t="s">
        <v>16</v>
      </c>
      <c r="D37" s="36" t="str">
        <f>Source!H28</f>
        <v>м2</v>
      </c>
      <c r="E37" s="37">
        <f>Source!I28</f>
        <v>120</v>
      </c>
      <c r="F37" s="38"/>
      <c r="G37" s="39"/>
      <c r="H37" s="37"/>
      <c r="I37" s="40"/>
      <c r="J37" s="37"/>
      <c r="K37" s="40"/>
      <c r="Q37">
        <f>Source!X28</f>
        <v>0</v>
      </c>
      <c r="R37">
        <f>Source!X29</f>
        <v>0</v>
      </c>
      <c r="S37">
        <f>Source!Y28</f>
        <v>0</v>
      </c>
      <c r="T37">
        <f>Source!Y29</f>
        <v>0</v>
      </c>
      <c r="U37">
        <f>ROUND((175/100)*ROUND(Source!R28, 2), 2)</f>
        <v>0</v>
      </c>
      <c r="V37">
        <f>ROUND((157/100)*ROUND(Source!R29, 2), 2)</f>
        <v>0</v>
      </c>
    </row>
    <row r="38" spans="1:22" ht="15" x14ac:dyDescent="0.25">
      <c r="A38" s="41"/>
      <c r="B38" s="41"/>
      <c r="C38" s="42" t="s">
        <v>376</v>
      </c>
      <c r="D38" s="41"/>
      <c r="E38" s="41"/>
      <c r="F38" s="41"/>
      <c r="G38" s="41"/>
      <c r="H38" s="70">
        <f>I37</f>
        <v>0</v>
      </c>
      <c r="I38" s="70"/>
      <c r="J38" s="70">
        <f>K37</f>
        <v>0</v>
      </c>
      <c r="K38" s="70"/>
      <c r="O38" s="33">
        <f>I37</f>
        <v>0</v>
      </c>
      <c r="P38" s="33">
        <f>K37</f>
        <v>0</v>
      </c>
    </row>
    <row r="40" spans="1:22" ht="42.75" x14ac:dyDescent="0.2">
      <c r="A40" s="27" t="str">
        <f>Source!E30</f>
        <v>2</v>
      </c>
      <c r="B40" s="28" t="str">
        <f>Source!F30</f>
        <v>6.68-51-4</v>
      </c>
      <c r="C40" s="28" t="s">
        <v>22</v>
      </c>
      <c r="D40" s="29" t="str">
        <f>Source!H30</f>
        <v>100 м3 конструкций</v>
      </c>
      <c r="E40" s="12">
        <f>Source!I30</f>
        <v>0.12</v>
      </c>
      <c r="F40" s="31"/>
      <c r="G40" s="30"/>
      <c r="H40" s="12"/>
      <c r="I40" s="32"/>
      <c r="J40" s="12"/>
      <c r="K40" s="32"/>
      <c r="Q40">
        <f>Source!X30</f>
        <v>162.04</v>
      </c>
      <c r="R40">
        <f>Source!X31</f>
        <v>3461.25</v>
      </c>
      <c r="S40">
        <f>Source!Y30</f>
        <v>111.4</v>
      </c>
      <c r="T40">
        <f>Source!Y31</f>
        <v>2086.9299999999998</v>
      </c>
      <c r="U40">
        <f>ROUND((175/100)*ROUND(Source!R30, 2), 2)</f>
        <v>154.4</v>
      </c>
      <c r="V40">
        <f>ROUND((157/100)*ROUND(Source!R31, 2), 2)</f>
        <v>3481.04</v>
      </c>
    </row>
    <row r="41" spans="1:22" x14ac:dyDescent="0.2">
      <c r="C41" s="43" t="str">
        <f>"Объем: "&amp;Source!I30&amp;"=("&amp;Source!I28&amp;"*"&amp;"0,1)/"&amp;"100"</f>
        <v>Объем: 0,12=(120*0,1)/100</v>
      </c>
    </row>
    <row r="42" spans="1:22" ht="14.25" x14ac:dyDescent="0.2">
      <c r="A42" s="27"/>
      <c r="B42" s="28"/>
      <c r="C42" s="28" t="s">
        <v>377</v>
      </c>
      <c r="D42" s="29"/>
      <c r="E42" s="12"/>
      <c r="F42" s="31">
        <f>Source!AO30</f>
        <v>1687.95</v>
      </c>
      <c r="G42" s="30" t="str">
        <f>Source!DG30</f>
        <v/>
      </c>
      <c r="H42" s="12">
        <f>Source!AV31</f>
        <v>1</v>
      </c>
      <c r="I42" s="32">
        <f>Source!S30</f>
        <v>202.55</v>
      </c>
      <c r="J42" s="12">
        <f>IF(Source!BA31&lt;&gt; 0, Source!BA31, 1)</f>
        <v>25.13</v>
      </c>
      <c r="K42" s="32">
        <f>Source!S31</f>
        <v>5090.08</v>
      </c>
    </row>
    <row r="43" spans="1:22" ht="14.25" x14ac:dyDescent="0.2">
      <c r="A43" s="27"/>
      <c r="B43" s="28"/>
      <c r="C43" s="28" t="s">
        <v>378</v>
      </c>
      <c r="D43" s="29"/>
      <c r="E43" s="12"/>
      <c r="F43" s="31">
        <f>Source!AM30</f>
        <v>2713.55</v>
      </c>
      <c r="G43" s="30" t="str">
        <f>Source!DE30</f>
        <v/>
      </c>
      <c r="H43" s="12">
        <f>Source!AV31</f>
        <v>1</v>
      </c>
      <c r="I43" s="32">
        <f>Source!Q30</f>
        <v>325.63</v>
      </c>
      <c r="J43" s="12">
        <f>IF(Source!BB31&lt;&gt; 0, Source!BB31, 1)</f>
        <v>11.46</v>
      </c>
      <c r="K43" s="32">
        <f>Source!Q31</f>
        <v>3731.72</v>
      </c>
    </row>
    <row r="44" spans="1:22" ht="14.25" x14ac:dyDescent="0.2">
      <c r="A44" s="27"/>
      <c r="B44" s="28"/>
      <c r="C44" s="28" t="s">
        <v>379</v>
      </c>
      <c r="D44" s="29"/>
      <c r="E44" s="12"/>
      <c r="F44" s="31">
        <f>Source!AN30</f>
        <v>735.23</v>
      </c>
      <c r="G44" s="30" t="str">
        <f>Source!DF30</f>
        <v/>
      </c>
      <c r="H44" s="12">
        <f>Source!AV31</f>
        <v>1</v>
      </c>
      <c r="I44" s="44">
        <f>Source!R30</f>
        <v>88.23</v>
      </c>
      <c r="J44" s="12">
        <f>IF(Source!BS31&lt;&gt; 0, Source!BS31, 1)</f>
        <v>25.13</v>
      </c>
      <c r="K44" s="44">
        <f>Source!R31</f>
        <v>2217.2199999999998</v>
      </c>
    </row>
    <row r="45" spans="1:22" ht="14.25" x14ac:dyDescent="0.2">
      <c r="A45" s="27"/>
      <c r="B45" s="28"/>
      <c r="C45" s="28" t="s">
        <v>380</v>
      </c>
      <c r="D45" s="29" t="s">
        <v>381</v>
      </c>
      <c r="E45" s="12">
        <f>Source!DN31</f>
        <v>80</v>
      </c>
      <c r="F45" s="31"/>
      <c r="G45" s="30"/>
      <c r="H45" s="12"/>
      <c r="I45" s="32">
        <f>SUM(Q40:Q44)</f>
        <v>162.04</v>
      </c>
      <c r="J45" s="12">
        <f>Source!BZ31</f>
        <v>68</v>
      </c>
      <c r="K45" s="32">
        <f>SUM(R40:R44)</f>
        <v>3461.25</v>
      </c>
    </row>
    <row r="46" spans="1:22" ht="14.25" x14ac:dyDescent="0.2">
      <c r="A46" s="27"/>
      <c r="B46" s="28"/>
      <c r="C46" s="28" t="s">
        <v>382</v>
      </c>
      <c r="D46" s="29" t="s">
        <v>381</v>
      </c>
      <c r="E46" s="12">
        <f>Source!DO31</f>
        <v>55</v>
      </c>
      <c r="F46" s="31"/>
      <c r="G46" s="30"/>
      <c r="H46" s="12"/>
      <c r="I46" s="32">
        <f>SUM(S40:S45)</f>
        <v>111.4</v>
      </c>
      <c r="J46" s="12">
        <f>Source!CA31</f>
        <v>41</v>
      </c>
      <c r="K46" s="32">
        <f>SUM(T40:T45)</f>
        <v>2086.9299999999998</v>
      </c>
    </row>
    <row r="47" spans="1:22" ht="14.25" x14ac:dyDescent="0.2">
      <c r="A47" s="27"/>
      <c r="B47" s="28"/>
      <c r="C47" s="28" t="s">
        <v>383</v>
      </c>
      <c r="D47" s="29" t="s">
        <v>381</v>
      </c>
      <c r="E47" s="12">
        <f>175</f>
        <v>175</v>
      </c>
      <c r="F47" s="31"/>
      <c r="G47" s="30"/>
      <c r="H47" s="12"/>
      <c r="I47" s="32">
        <f>SUM(U40:U46)</f>
        <v>154.4</v>
      </c>
      <c r="J47" s="12">
        <f>157</f>
        <v>157</v>
      </c>
      <c r="K47" s="32">
        <f>SUM(V40:V46)</f>
        <v>3481.04</v>
      </c>
    </row>
    <row r="48" spans="1:22" ht="14.25" x14ac:dyDescent="0.2">
      <c r="A48" s="34"/>
      <c r="B48" s="35"/>
      <c r="C48" s="35" t="s">
        <v>384</v>
      </c>
      <c r="D48" s="36" t="s">
        <v>385</v>
      </c>
      <c r="E48" s="37">
        <f>Source!AQ30</f>
        <v>155</v>
      </c>
      <c r="F48" s="38"/>
      <c r="G48" s="39" t="str">
        <f>Source!DI30</f>
        <v/>
      </c>
      <c r="H48" s="37">
        <f>Source!AV31</f>
        <v>1</v>
      </c>
      <c r="I48" s="40">
        <f>Source!U30</f>
        <v>18.599999999999998</v>
      </c>
      <c r="J48" s="37"/>
      <c r="K48" s="40"/>
    </row>
    <row r="49" spans="1:22" ht="15" x14ac:dyDescent="0.25">
      <c r="A49" s="41"/>
      <c r="B49" s="41"/>
      <c r="C49" s="42" t="s">
        <v>376</v>
      </c>
      <c r="D49" s="41"/>
      <c r="E49" s="41"/>
      <c r="F49" s="41"/>
      <c r="G49" s="41"/>
      <c r="H49" s="70">
        <f>I42+I43+I45+I46+I47</f>
        <v>956.02</v>
      </c>
      <c r="I49" s="70"/>
      <c r="J49" s="70">
        <f>K42+K43+K45+K46+K47</f>
        <v>17851.02</v>
      </c>
      <c r="K49" s="70"/>
      <c r="O49" s="33">
        <f>I42+I43+I45+I46+I47</f>
        <v>956.02</v>
      </c>
      <c r="P49" s="33">
        <f>K42+K43+K45+K46+K47</f>
        <v>17851.02</v>
      </c>
    </row>
    <row r="51" spans="1:22" ht="42.75" x14ac:dyDescent="0.2">
      <c r="A51" s="27" t="str">
        <f>Source!E32</f>
        <v>3</v>
      </c>
      <c r="B51" s="28" t="str">
        <f>Source!F32</f>
        <v>6.68-13-1</v>
      </c>
      <c r="C51" s="28" t="s">
        <v>30</v>
      </c>
      <c r="D51" s="29" t="str">
        <f>Source!H32</f>
        <v>1 Т</v>
      </c>
      <c r="E51" s="12">
        <f>Source!I32</f>
        <v>27.36</v>
      </c>
      <c r="F51" s="31"/>
      <c r="G51" s="30"/>
      <c r="H51" s="12"/>
      <c r="I51" s="32"/>
      <c r="J51" s="12"/>
      <c r="K51" s="32"/>
      <c r="Q51">
        <f>Source!X32</f>
        <v>0</v>
      </c>
      <c r="R51">
        <f>Source!X33</f>
        <v>0</v>
      </c>
      <c r="S51">
        <f>Source!Y32</f>
        <v>0</v>
      </c>
      <c r="T51">
        <f>Source!Y33</f>
        <v>0</v>
      </c>
      <c r="U51">
        <f>ROUND((175/100)*ROUND(Source!R32, 2), 2)</f>
        <v>70.86</v>
      </c>
      <c r="V51">
        <f>ROUND((157/100)*ROUND(Source!R33, 2), 2)</f>
        <v>1597.49</v>
      </c>
    </row>
    <row r="52" spans="1:22" x14ac:dyDescent="0.2">
      <c r="C52" s="43" t="str">
        <f>"Объем: "&amp;Source!I32&amp;"="&amp;Source!I30&amp;"*"&amp;"100*"&amp;"2,4*"&amp;"0,95"</f>
        <v>Объем: 27,36=0,12*100*2,4*0,95</v>
      </c>
    </row>
    <row r="53" spans="1:22" ht="14.25" x14ac:dyDescent="0.2">
      <c r="A53" s="27"/>
      <c r="B53" s="28"/>
      <c r="C53" s="28" t="s">
        <v>378</v>
      </c>
      <c r="D53" s="29"/>
      <c r="E53" s="12"/>
      <c r="F53" s="31">
        <f>Source!AM32</f>
        <v>8.86</v>
      </c>
      <c r="G53" s="30" t="str">
        <f>Source!DE32</f>
        <v/>
      </c>
      <c r="H53" s="12">
        <f>Source!AV33</f>
        <v>1</v>
      </c>
      <c r="I53" s="32">
        <f>Source!Q32</f>
        <v>242.41</v>
      </c>
      <c r="J53" s="12">
        <f>IF(Source!BB33&lt;&gt; 0, Source!BB33, 1)</f>
        <v>9</v>
      </c>
      <c r="K53" s="32">
        <f>Source!Q33</f>
        <v>2181.69</v>
      </c>
    </row>
    <row r="54" spans="1:22" ht="14.25" x14ac:dyDescent="0.2">
      <c r="A54" s="27"/>
      <c r="B54" s="28"/>
      <c r="C54" s="28" t="s">
        <v>379</v>
      </c>
      <c r="D54" s="29"/>
      <c r="E54" s="12"/>
      <c r="F54" s="31">
        <f>Source!AN32</f>
        <v>1.48</v>
      </c>
      <c r="G54" s="30" t="str">
        <f>Source!DF32</f>
        <v/>
      </c>
      <c r="H54" s="12">
        <f>Source!AV33</f>
        <v>1</v>
      </c>
      <c r="I54" s="44">
        <f>Source!R32</f>
        <v>40.49</v>
      </c>
      <c r="J54" s="12">
        <f>IF(Source!BS33&lt;&gt; 0, Source!BS33, 1)</f>
        <v>25.13</v>
      </c>
      <c r="K54" s="44">
        <f>Source!R33</f>
        <v>1017.51</v>
      </c>
    </row>
    <row r="55" spans="1:22" ht="14.25" x14ac:dyDescent="0.2">
      <c r="A55" s="34"/>
      <c r="B55" s="35"/>
      <c r="C55" s="35" t="s">
        <v>383</v>
      </c>
      <c r="D55" s="36" t="s">
        <v>381</v>
      </c>
      <c r="E55" s="37">
        <f>175</f>
        <v>175</v>
      </c>
      <c r="F55" s="38"/>
      <c r="G55" s="39"/>
      <c r="H55" s="37"/>
      <c r="I55" s="40">
        <f>SUM(U51:U54)</f>
        <v>70.86</v>
      </c>
      <c r="J55" s="37">
        <f>157</f>
        <v>157</v>
      </c>
      <c r="K55" s="40">
        <f>SUM(V51:V54)</f>
        <v>1597.49</v>
      </c>
    </row>
    <row r="56" spans="1:22" ht="15" x14ac:dyDescent="0.25">
      <c r="A56" s="41"/>
      <c r="B56" s="41"/>
      <c r="C56" s="42" t="s">
        <v>376</v>
      </c>
      <c r="D56" s="41"/>
      <c r="E56" s="41"/>
      <c r="F56" s="41"/>
      <c r="G56" s="41"/>
      <c r="H56" s="70">
        <f>I53+I55</f>
        <v>313.27</v>
      </c>
      <c r="I56" s="70"/>
      <c r="J56" s="70">
        <f>K53+K55</f>
        <v>3779.1800000000003</v>
      </c>
      <c r="K56" s="70"/>
      <c r="O56" s="33">
        <f>I53+I55</f>
        <v>313.27</v>
      </c>
      <c r="P56" s="33">
        <f>K53+K55</f>
        <v>3779.1800000000003</v>
      </c>
    </row>
    <row r="58" spans="1:22" ht="42.75" x14ac:dyDescent="0.2">
      <c r="A58" s="27" t="str">
        <f>Source!E34</f>
        <v>4</v>
      </c>
      <c r="B58" s="28" t="str">
        <f>Source!F34</f>
        <v>6.69-19-1</v>
      </c>
      <c r="C58" s="28" t="s">
        <v>37</v>
      </c>
      <c r="D58" s="29" t="str">
        <f>Source!H34</f>
        <v>1 Т</v>
      </c>
      <c r="E58" s="12">
        <f>Source!I34</f>
        <v>1.44</v>
      </c>
      <c r="F58" s="31"/>
      <c r="G58" s="30"/>
      <c r="H58" s="12"/>
      <c r="I58" s="32"/>
      <c r="J58" s="12"/>
      <c r="K58" s="32"/>
      <c r="Q58">
        <f>Source!X34</f>
        <v>12.6</v>
      </c>
      <c r="R58">
        <f>Source!X35</f>
        <v>254.08</v>
      </c>
      <c r="S58">
        <f>Source!Y34</f>
        <v>9.6999999999999993</v>
      </c>
      <c r="T58">
        <f>Source!Y35</f>
        <v>142.69999999999999</v>
      </c>
      <c r="U58">
        <f>ROUND((175/100)*ROUND(Source!R34, 2), 2)</f>
        <v>0</v>
      </c>
      <c r="V58">
        <f>ROUND((157/100)*ROUND(Source!R35, 2), 2)</f>
        <v>0</v>
      </c>
    </row>
    <row r="59" spans="1:22" x14ac:dyDescent="0.2">
      <c r="C59" s="43" t="str">
        <f>"Объем: "&amp;Source!I34&amp;"="&amp;Source!I32&amp;"/"&amp;"0,95*"&amp;"0,05"</f>
        <v>Объем: 1,44=27,36/0,95*0,05</v>
      </c>
    </row>
    <row r="60" spans="1:22" ht="14.25" x14ac:dyDescent="0.2">
      <c r="A60" s="27"/>
      <c r="B60" s="28"/>
      <c r="C60" s="28" t="s">
        <v>377</v>
      </c>
      <c r="D60" s="29"/>
      <c r="E60" s="12"/>
      <c r="F60" s="31">
        <f>Source!AO34</f>
        <v>9.6199999999999992</v>
      </c>
      <c r="G60" s="30" t="str">
        <f>Source!DG34</f>
        <v/>
      </c>
      <c r="H60" s="12">
        <f>Source!AV35</f>
        <v>1</v>
      </c>
      <c r="I60" s="32">
        <f>Source!S34</f>
        <v>13.85</v>
      </c>
      <c r="J60" s="12">
        <f>IF(Source!BA35&lt;&gt; 0, Source!BA35, 1)</f>
        <v>25.13</v>
      </c>
      <c r="K60" s="32">
        <f>Source!S35</f>
        <v>348.05</v>
      </c>
    </row>
    <row r="61" spans="1:22" ht="14.25" x14ac:dyDescent="0.2">
      <c r="A61" s="27"/>
      <c r="B61" s="28"/>
      <c r="C61" s="28" t="s">
        <v>380</v>
      </c>
      <c r="D61" s="29" t="s">
        <v>381</v>
      </c>
      <c r="E61" s="12">
        <f>Source!DN35</f>
        <v>91</v>
      </c>
      <c r="F61" s="31"/>
      <c r="G61" s="30"/>
      <c r="H61" s="12"/>
      <c r="I61" s="32">
        <f>SUM(Q58:Q60)</f>
        <v>12.6</v>
      </c>
      <c r="J61" s="12">
        <f>Source!BZ35</f>
        <v>73</v>
      </c>
      <c r="K61" s="32">
        <f>SUM(R58:R60)</f>
        <v>254.08</v>
      </c>
    </row>
    <row r="62" spans="1:22" ht="14.25" x14ac:dyDescent="0.2">
      <c r="A62" s="27"/>
      <c r="B62" s="28"/>
      <c r="C62" s="28" t="s">
        <v>382</v>
      </c>
      <c r="D62" s="29" t="s">
        <v>381</v>
      </c>
      <c r="E62" s="12">
        <f>Source!DO35</f>
        <v>70</v>
      </c>
      <c r="F62" s="31"/>
      <c r="G62" s="30"/>
      <c r="H62" s="12"/>
      <c r="I62" s="32">
        <f>SUM(S58:S61)</f>
        <v>9.6999999999999993</v>
      </c>
      <c r="J62" s="12">
        <f>Source!CA35</f>
        <v>41</v>
      </c>
      <c r="K62" s="32">
        <f>SUM(T58:T61)</f>
        <v>142.69999999999999</v>
      </c>
    </row>
    <row r="63" spans="1:22" ht="14.25" x14ac:dyDescent="0.2">
      <c r="A63" s="34"/>
      <c r="B63" s="35"/>
      <c r="C63" s="35" t="s">
        <v>384</v>
      </c>
      <c r="D63" s="36" t="s">
        <v>385</v>
      </c>
      <c r="E63" s="37">
        <f>Source!AQ34</f>
        <v>1.02</v>
      </c>
      <c r="F63" s="38"/>
      <c r="G63" s="39" t="str">
        <f>Source!DI34</f>
        <v/>
      </c>
      <c r="H63" s="37">
        <f>Source!AV35</f>
        <v>1</v>
      </c>
      <c r="I63" s="40">
        <f>Source!U34</f>
        <v>1.4687999999999999</v>
      </c>
      <c r="J63" s="37"/>
      <c r="K63" s="40"/>
    </row>
    <row r="64" spans="1:22" ht="15" x14ac:dyDescent="0.25">
      <c r="A64" s="41"/>
      <c r="B64" s="41"/>
      <c r="C64" s="42" t="s">
        <v>376</v>
      </c>
      <c r="D64" s="41"/>
      <c r="E64" s="41"/>
      <c r="F64" s="41"/>
      <c r="G64" s="41"/>
      <c r="H64" s="70">
        <f>I60+I61+I62</f>
        <v>36.15</v>
      </c>
      <c r="I64" s="70"/>
      <c r="J64" s="70">
        <f>K60+K61+K62</f>
        <v>744.82999999999993</v>
      </c>
      <c r="K64" s="70"/>
      <c r="O64" s="33">
        <f>I60+I61+I62</f>
        <v>36.15</v>
      </c>
      <c r="P64" s="33">
        <f>K60+K61+K62</f>
        <v>744.82999999999993</v>
      </c>
    </row>
    <row r="66" spans="1:22" ht="42.75" x14ac:dyDescent="0.2">
      <c r="A66" s="27" t="str">
        <f>Source!E36</f>
        <v>5</v>
      </c>
      <c r="B66" s="28" t="str">
        <f>Source!F36</f>
        <v>15.2-52-11</v>
      </c>
      <c r="C66" s="28" t="s">
        <v>43</v>
      </c>
      <c r="D66" s="29" t="str">
        <f>Source!H36</f>
        <v>т</v>
      </c>
      <c r="E66" s="12">
        <f>Source!I36</f>
        <v>28.8</v>
      </c>
      <c r="F66" s="31"/>
      <c r="G66" s="30"/>
      <c r="H66" s="12"/>
      <c r="I66" s="32"/>
      <c r="J66" s="12"/>
      <c r="K66" s="32"/>
      <c r="Q66">
        <f>Source!X36</f>
        <v>0</v>
      </c>
      <c r="R66">
        <f>Source!X37</f>
        <v>0</v>
      </c>
      <c r="S66">
        <f>Source!Y36</f>
        <v>0</v>
      </c>
      <c r="T66">
        <f>Source!Y37</f>
        <v>0</v>
      </c>
      <c r="U66">
        <f>ROUND((175/100)*ROUND(Source!R36, 2), 2)</f>
        <v>0</v>
      </c>
      <c r="V66">
        <f>ROUND((157/100)*ROUND(Source!R37, 2), 2)</f>
        <v>0</v>
      </c>
    </row>
    <row r="67" spans="1:22" x14ac:dyDescent="0.2">
      <c r="C67" s="43" t="str">
        <f>"Объем: "&amp;Source!I36&amp;"="&amp;Source!I32&amp;"+"&amp;""&amp;Source!I34&amp;""</f>
        <v>Объем: 28,8=27,36+1,44</v>
      </c>
    </row>
    <row r="68" spans="1:22" ht="14.25" x14ac:dyDescent="0.2">
      <c r="A68" s="34"/>
      <c r="B68" s="35"/>
      <c r="C68" s="35" t="s">
        <v>378</v>
      </c>
      <c r="D68" s="36"/>
      <c r="E68" s="37"/>
      <c r="F68" s="38">
        <f>Source!AM36</f>
        <v>56.8</v>
      </c>
      <c r="G68" s="39" t="str">
        <f>Source!DE36</f>
        <v/>
      </c>
      <c r="H68" s="37">
        <f>Source!AV37</f>
        <v>1</v>
      </c>
      <c r="I68" s="40">
        <f>Source!Q36</f>
        <v>1635.84</v>
      </c>
      <c r="J68" s="37">
        <f>IF(Source!BB37&lt;&gt; 0, Source!BB37, 1)</f>
        <v>10.32</v>
      </c>
      <c r="K68" s="40">
        <f>Source!Q37</f>
        <v>16881.87</v>
      </c>
    </row>
    <row r="69" spans="1:22" ht="15" x14ac:dyDescent="0.25">
      <c r="A69" s="41"/>
      <c r="B69" s="41"/>
      <c r="C69" s="42" t="s">
        <v>376</v>
      </c>
      <c r="D69" s="41"/>
      <c r="E69" s="41"/>
      <c r="F69" s="41"/>
      <c r="G69" s="41"/>
      <c r="H69" s="70">
        <f>I68</f>
        <v>1635.84</v>
      </c>
      <c r="I69" s="70"/>
      <c r="J69" s="70">
        <f>K68</f>
        <v>16881.87</v>
      </c>
      <c r="K69" s="70"/>
      <c r="O69" s="33">
        <f>I68</f>
        <v>1635.84</v>
      </c>
      <c r="P69" s="33">
        <f>K68</f>
        <v>16881.87</v>
      </c>
    </row>
    <row r="71" spans="1:22" ht="42.75" x14ac:dyDescent="0.2">
      <c r="A71" s="27" t="str">
        <f>Source!E38</f>
        <v>6</v>
      </c>
      <c r="B71" s="28" t="str">
        <f>Source!F38</f>
        <v>15.1-1300-02</v>
      </c>
      <c r="C71" s="28" t="s">
        <v>51</v>
      </c>
      <c r="D71" s="29" t="str">
        <f>Source!H38</f>
        <v>1 Т</v>
      </c>
      <c r="E71" s="12">
        <f>Source!I38</f>
        <v>28.8</v>
      </c>
      <c r="F71" s="31"/>
      <c r="G71" s="30"/>
      <c r="H71" s="12"/>
      <c r="I71" s="32"/>
      <c r="J71" s="12"/>
      <c r="K71" s="32"/>
      <c r="Q71">
        <f>Source!X38</f>
        <v>0</v>
      </c>
      <c r="R71">
        <f>Source!X39</f>
        <v>0</v>
      </c>
      <c r="S71">
        <f>Source!Y38</f>
        <v>0</v>
      </c>
      <c r="T71">
        <f>Source!Y39</f>
        <v>0</v>
      </c>
      <c r="U71">
        <f>ROUND((175/100)*ROUND(Source!R38, 2), 2)</f>
        <v>0</v>
      </c>
      <c r="V71">
        <f>ROUND((157/100)*ROUND(Source!R39, 2), 2)</f>
        <v>0</v>
      </c>
    </row>
    <row r="72" spans="1:22" ht="14.25" x14ac:dyDescent="0.2">
      <c r="A72" s="34"/>
      <c r="B72" s="35"/>
      <c r="C72" s="35" t="s">
        <v>378</v>
      </c>
      <c r="D72" s="36"/>
      <c r="E72" s="37"/>
      <c r="F72" s="38">
        <f>Source!AM38</f>
        <v>36.590000000000003</v>
      </c>
      <c r="G72" s="39" t="str">
        <f>Source!DE38</f>
        <v/>
      </c>
      <c r="H72" s="37">
        <f>Source!AV39</f>
        <v>1</v>
      </c>
      <c r="I72" s="40">
        <f>Source!Q38</f>
        <v>1053.79</v>
      </c>
      <c r="J72" s="37">
        <f>IF(Source!BB39&lt;&gt; 0, Source!BB39, 1)</f>
        <v>7.63</v>
      </c>
      <c r="K72" s="40">
        <f>Source!Q39</f>
        <v>8040.42</v>
      </c>
    </row>
    <row r="73" spans="1:22" ht="15" x14ac:dyDescent="0.25">
      <c r="A73" s="41"/>
      <c r="B73" s="41"/>
      <c r="C73" s="42" t="s">
        <v>376</v>
      </c>
      <c r="D73" s="41"/>
      <c r="E73" s="41"/>
      <c r="F73" s="41"/>
      <c r="G73" s="41"/>
      <c r="H73" s="70">
        <f>I72</f>
        <v>1053.79</v>
      </c>
      <c r="I73" s="70"/>
      <c r="J73" s="70">
        <f>K72</f>
        <v>8040.42</v>
      </c>
      <c r="K73" s="70"/>
      <c r="O73" s="33">
        <f>I72</f>
        <v>1053.79</v>
      </c>
      <c r="P73" s="33">
        <f>K72</f>
        <v>8040.42</v>
      </c>
    </row>
    <row r="75" spans="1:22" ht="71.25" x14ac:dyDescent="0.2">
      <c r="A75" s="27" t="str">
        <f>Source!E40</f>
        <v>7</v>
      </c>
      <c r="B75" s="28" t="str">
        <f>Source!F40</f>
        <v>3.27-47-3</v>
      </c>
      <c r="C75" s="28" t="s">
        <v>55</v>
      </c>
      <c r="D75" s="29" t="str">
        <f>Source!H40</f>
        <v>100 м2 покрытия</v>
      </c>
      <c r="E75" s="12">
        <f>Source!I40</f>
        <v>1.2</v>
      </c>
      <c r="F75" s="31"/>
      <c r="G75" s="30"/>
      <c r="H75" s="12"/>
      <c r="I75" s="32"/>
      <c r="J75" s="12"/>
      <c r="K75" s="32"/>
      <c r="Q75">
        <f>Source!X40</f>
        <v>173.33</v>
      </c>
      <c r="R75">
        <f>Source!X41</f>
        <v>3445.6</v>
      </c>
      <c r="S75">
        <f>Source!Y40</f>
        <v>107.36</v>
      </c>
      <c r="T75">
        <f>Source!Y41</f>
        <v>1332.73</v>
      </c>
      <c r="U75">
        <f>ROUND((175/100)*ROUND(Source!R40, 2), 2)</f>
        <v>22.38</v>
      </c>
      <c r="V75">
        <f>ROUND((157/100)*ROUND(Source!R41, 2), 2)</f>
        <v>504.61</v>
      </c>
    </row>
    <row r="76" spans="1:22" x14ac:dyDescent="0.2">
      <c r="C76" s="43" t="str">
        <f>"Объем: "&amp;Source!I40&amp;"=("&amp;Source!I28&amp;")/"&amp;"100"</f>
        <v>Объем: 1,2=(120)/100</v>
      </c>
    </row>
    <row r="77" spans="1:22" ht="14.25" x14ac:dyDescent="0.2">
      <c r="A77" s="27"/>
      <c r="B77" s="28"/>
      <c r="C77" s="28" t="s">
        <v>377</v>
      </c>
      <c r="D77" s="29"/>
      <c r="E77" s="12"/>
      <c r="F77" s="31">
        <f>Source!AO40</f>
        <v>107.79</v>
      </c>
      <c r="G77" s="30" t="str">
        <f>Source!DG40</f>
        <v/>
      </c>
      <c r="H77" s="12">
        <f>Source!AV41</f>
        <v>1</v>
      </c>
      <c r="I77" s="32">
        <f>Source!S40</f>
        <v>129.35</v>
      </c>
      <c r="J77" s="12">
        <f>IF(Source!BA41&lt;&gt; 0, Source!BA41, 1)</f>
        <v>25.13</v>
      </c>
      <c r="K77" s="32">
        <f>Source!S41</f>
        <v>3250.57</v>
      </c>
    </row>
    <row r="78" spans="1:22" ht="14.25" x14ac:dyDescent="0.2">
      <c r="A78" s="27"/>
      <c r="B78" s="28"/>
      <c r="C78" s="28" t="s">
        <v>378</v>
      </c>
      <c r="D78" s="29"/>
      <c r="E78" s="12"/>
      <c r="F78" s="31">
        <f>Source!AM40</f>
        <v>120.3</v>
      </c>
      <c r="G78" s="30" t="str">
        <f>Source!DE40</f>
        <v/>
      </c>
      <c r="H78" s="12">
        <f>Source!AV41</f>
        <v>1</v>
      </c>
      <c r="I78" s="32">
        <f>Source!Q40</f>
        <v>144.36000000000001</v>
      </c>
      <c r="J78" s="12">
        <f>IF(Source!BB41&lt;&gt; 0, Source!BB41, 1)</f>
        <v>8.3800000000000008</v>
      </c>
      <c r="K78" s="32">
        <f>Source!Q41</f>
        <v>1209.74</v>
      </c>
    </row>
    <row r="79" spans="1:22" ht="14.25" x14ac:dyDescent="0.2">
      <c r="A79" s="27"/>
      <c r="B79" s="28"/>
      <c r="C79" s="28" t="s">
        <v>379</v>
      </c>
      <c r="D79" s="29"/>
      <c r="E79" s="12"/>
      <c r="F79" s="31">
        <f>Source!AN40</f>
        <v>10.66</v>
      </c>
      <c r="G79" s="30" t="str">
        <f>Source!DF40</f>
        <v/>
      </c>
      <c r="H79" s="12">
        <f>Source!AV41</f>
        <v>1</v>
      </c>
      <c r="I79" s="44">
        <f>Source!R40</f>
        <v>12.79</v>
      </c>
      <c r="J79" s="12">
        <f>IF(Source!BS41&lt;&gt; 0, Source!BS41, 1)</f>
        <v>25.13</v>
      </c>
      <c r="K79" s="44">
        <f>Source!R41</f>
        <v>321.41000000000003</v>
      </c>
    </row>
    <row r="80" spans="1:22" ht="14.25" x14ac:dyDescent="0.2">
      <c r="A80" s="27"/>
      <c r="B80" s="28"/>
      <c r="C80" s="28" t="s">
        <v>386</v>
      </c>
      <c r="D80" s="29"/>
      <c r="E80" s="12"/>
      <c r="F80" s="31">
        <f>Source!AL40</f>
        <v>210.11</v>
      </c>
      <c r="G80" s="30" t="str">
        <f>Source!DD40</f>
        <v/>
      </c>
      <c r="H80" s="12">
        <f>Source!AW41</f>
        <v>1</v>
      </c>
      <c r="I80" s="32">
        <f>Source!P40</f>
        <v>252.13</v>
      </c>
      <c r="J80" s="12">
        <f>IF(Source!BC41&lt;&gt; 0, Source!BC41, 1)</f>
        <v>6.73</v>
      </c>
      <c r="K80" s="32">
        <f>Source!P41</f>
        <v>1696.83</v>
      </c>
    </row>
    <row r="81" spans="1:22" ht="28.5" x14ac:dyDescent="0.2">
      <c r="A81" s="27" t="str">
        <f>Source!E42</f>
        <v>7,1</v>
      </c>
      <c r="B81" s="28" t="str">
        <f>Source!F42</f>
        <v>1.3-3-4</v>
      </c>
      <c r="C81" s="28" t="s">
        <v>63</v>
      </c>
      <c r="D81" s="29" t="str">
        <f>Source!H42</f>
        <v>т</v>
      </c>
      <c r="E81" s="12">
        <f>Source!I42</f>
        <v>14.268000000000001</v>
      </c>
      <c r="F81" s="31">
        <f>Source!AK42</f>
        <v>305.75</v>
      </c>
      <c r="G81" s="45" t="s">
        <v>3</v>
      </c>
      <c r="H81" s="12">
        <f>Source!AW43</f>
        <v>1</v>
      </c>
      <c r="I81" s="32">
        <f>Source!O42</f>
        <v>4362.4399999999996</v>
      </c>
      <c r="J81" s="12">
        <f>IF(Source!BC43&lt;&gt; 0, Source!BC43, 1)</f>
        <v>8.74</v>
      </c>
      <c r="K81" s="32">
        <f>Source!O43</f>
        <v>38127.730000000003</v>
      </c>
      <c r="Q81">
        <f>Source!X42</f>
        <v>0</v>
      </c>
      <c r="R81">
        <f>Source!X43</f>
        <v>0</v>
      </c>
      <c r="S81">
        <f>Source!Y42</f>
        <v>0</v>
      </c>
      <c r="T81">
        <f>Source!Y43</f>
        <v>0</v>
      </c>
      <c r="U81">
        <f>ROUND((175/100)*ROUND(Source!R42, 2), 2)</f>
        <v>0</v>
      </c>
      <c r="V81">
        <f>ROUND((157/100)*ROUND(Source!R43, 2), 2)</f>
        <v>0</v>
      </c>
    </row>
    <row r="82" spans="1:22" ht="14.25" x14ac:dyDescent="0.2">
      <c r="A82" s="27"/>
      <c r="B82" s="28"/>
      <c r="C82" s="28" t="s">
        <v>380</v>
      </c>
      <c r="D82" s="29" t="s">
        <v>381</v>
      </c>
      <c r="E82" s="12">
        <f>Source!DN41</f>
        <v>134</v>
      </c>
      <c r="F82" s="31"/>
      <c r="G82" s="30"/>
      <c r="H82" s="12"/>
      <c r="I82" s="32">
        <f>SUM(Q75:Q81)</f>
        <v>173.33</v>
      </c>
      <c r="J82" s="12">
        <f>Source!BZ41</f>
        <v>106</v>
      </c>
      <c r="K82" s="32">
        <f>SUM(R75:R81)</f>
        <v>3445.6</v>
      </c>
    </row>
    <row r="83" spans="1:22" ht="14.25" x14ac:dyDescent="0.2">
      <c r="A83" s="27"/>
      <c r="B83" s="28"/>
      <c r="C83" s="28" t="s">
        <v>382</v>
      </c>
      <c r="D83" s="29" t="s">
        <v>381</v>
      </c>
      <c r="E83" s="12">
        <f>Source!DO41</f>
        <v>83</v>
      </c>
      <c r="F83" s="31"/>
      <c r="G83" s="30"/>
      <c r="H83" s="12"/>
      <c r="I83" s="32">
        <f>SUM(S75:S82)</f>
        <v>107.36</v>
      </c>
      <c r="J83" s="12">
        <f>Source!CA41</f>
        <v>41</v>
      </c>
      <c r="K83" s="32">
        <f>SUM(T75:T82)</f>
        <v>1332.73</v>
      </c>
    </row>
    <row r="84" spans="1:22" ht="14.25" x14ac:dyDescent="0.2">
      <c r="A84" s="27"/>
      <c r="B84" s="28"/>
      <c r="C84" s="28" t="s">
        <v>383</v>
      </c>
      <c r="D84" s="29" t="s">
        <v>381</v>
      </c>
      <c r="E84" s="12">
        <f>175</f>
        <v>175</v>
      </c>
      <c r="F84" s="31"/>
      <c r="G84" s="30"/>
      <c r="H84" s="12"/>
      <c r="I84" s="32">
        <f>SUM(U75:U83)</f>
        <v>22.38</v>
      </c>
      <c r="J84" s="12">
        <f>157</f>
        <v>157</v>
      </c>
      <c r="K84" s="32">
        <f>SUM(V75:V83)</f>
        <v>504.61</v>
      </c>
    </row>
    <row r="85" spans="1:22" ht="14.25" x14ac:dyDescent="0.2">
      <c r="A85" s="34"/>
      <c r="B85" s="35"/>
      <c r="C85" s="35" t="s">
        <v>384</v>
      </c>
      <c r="D85" s="36" t="s">
        <v>385</v>
      </c>
      <c r="E85" s="37">
        <f>Source!AQ40</f>
        <v>8.9600000000000009</v>
      </c>
      <c r="F85" s="38"/>
      <c r="G85" s="39" t="str">
        <f>Source!DI40</f>
        <v/>
      </c>
      <c r="H85" s="37">
        <f>Source!AV41</f>
        <v>1</v>
      </c>
      <c r="I85" s="40">
        <f>Source!U40</f>
        <v>10.752000000000001</v>
      </c>
      <c r="J85" s="37"/>
      <c r="K85" s="40"/>
    </row>
    <row r="86" spans="1:22" ht="15" x14ac:dyDescent="0.25">
      <c r="A86" s="41"/>
      <c r="B86" s="41"/>
      <c r="C86" s="42" t="s">
        <v>376</v>
      </c>
      <c r="D86" s="41"/>
      <c r="E86" s="41"/>
      <c r="F86" s="41"/>
      <c r="G86" s="41"/>
      <c r="H86" s="70">
        <f>I77+I78+I80+I82+I83+I84+SUM(I81:I81)</f>
        <v>5191.3499999999995</v>
      </c>
      <c r="I86" s="70"/>
      <c r="J86" s="70">
        <f>K77+K78+K80+K82+K83+K84+SUM(K81:K81)</f>
        <v>49567.810000000005</v>
      </c>
      <c r="K86" s="70"/>
      <c r="O86" s="33">
        <f>I77+I78+I80+I82+I83+I84+SUM(I81:I81)</f>
        <v>5191.3499999999995</v>
      </c>
      <c r="P86" s="33">
        <f>K77+K78+K80+K82+K83+K84+SUM(K81:K81)</f>
        <v>49567.810000000005</v>
      </c>
    </row>
    <row r="88" spans="1:22" ht="71.25" x14ac:dyDescent="0.2">
      <c r="A88" s="27" t="str">
        <f>Source!E44</f>
        <v>8</v>
      </c>
      <c r="B88" s="28" t="str">
        <f>Source!F44</f>
        <v>3.27-47-4</v>
      </c>
      <c r="C88" s="28" t="s">
        <v>67</v>
      </c>
      <c r="D88" s="29" t="str">
        <f>Source!H44</f>
        <v>100 м2 покрытия</v>
      </c>
      <c r="E88" s="12">
        <f>Source!I44</f>
        <v>1.2</v>
      </c>
      <c r="F88" s="31"/>
      <c r="G88" s="30"/>
      <c r="H88" s="12"/>
      <c r="I88" s="32"/>
      <c r="J88" s="12"/>
      <c r="K88" s="32"/>
      <c r="Q88">
        <f>Source!X44</f>
        <v>173.33</v>
      </c>
      <c r="R88">
        <f>Source!X45</f>
        <v>3445.6</v>
      </c>
      <c r="S88">
        <f>Source!Y44</f>
        <v>107.36</v>
      </c>
      <c r="T88">
        <f>Source!Y45</f>
        <v>1332.73</v>
      </c>
      <c r="U88">
        <f>ROUND((175/100)*ROUND(Source!R44, 2), 2)</f>
        <v>22.38</v>
      </c>
      <c r="V88">
        <f>ROUND((157/100)*ROUND(Source!R45, 2), 2)</f>
        <v>504.61</v>
      </c>
    </row>
    <row r="89" spans="1:22" x14ac:dyDescent="0.2">
      <c r="C89" s="43" t="str">
        <f>"Объем: "&amp;Source!I44&amp;"="&amp;Source!I28&amp;"/"&amp;"100"</f>
        <v>Объем: 1,2=120/100</v>
      </c>
    </row>
    <row r="90" spans="1:22" ht="14.25" x14ac:dyDescent="0.2">
      <c r="A90" s="27"/>
      <c r="B90" s="28"/>
      <c r="C90" s="28" t="s">
        <v>377</v>
      </c>
      <c r="D90" s="29"/>
      <c r="E90" s="12"/>
      <c r="F90" s="31">
        <f>Source!AO44</f>
        <v>107.79</v>
      </c>
      <c r="G90" s="30" t="str">
        <f>Source!DG44</f>
        <v/>
      </c>
      <c r="H90" s="12">
        <f>Source!AV45</f>
        <v>1</v>
      </c>
      <c r="I90" s="32">
        <f>Source!S44</f>
        <v>129.35</v>
      </c>
      <c r="J90" s="12">
        <f>IF(Source!BA45&lt;&gt; 0, Source!BA45, 1)</f>
        <v>25.13</v>
      </c>
      <c r="K90" s="32">
        <f>Source!S45</f>
        <v>3250.57</v>
      </c>
    </row>
    <row r="91" spans="1:22" ht="14.25" x14ac:dyDescent="0.2">
      <c r="A91" s="27"/>
      <c r="B91" s="28"/>
      <c r="C91" s="28" t="s">
        <v>378</v>
      </c>
      <c r="D91" s="29"/>
      <c r="E91" s="12"/>
      <c r="F91" s="31">
        <f>Source!AM44</f>
        <v>120.3</v>
      </c>
      <c r="G91" s="30" t="str">
        <f>Source!DE44</f>
        <v/>
      </c>
      <c r="H91" s="12">
        <f>Source!AV45</f>
        <v>1</v>
      </c>
      <c r="I91" s="32">
        <f>Source!Q44</f>
        <v>144.36000000000001</v>
      </c>
      <c r="J91" s="12">
        <f>IF(Source!BB45&lt;&gt; 0, Source!BB45, 1)</f>
        <v>8.3800000000000008</v>
      </c>
      <c r="K91" s="32">
        <f>Source!Q45</f>
        <v>1209.74</v>
      </c>
    </row>
    <row r="92" spans="1:22" ht="14.25" x14ac:dyDescent="0.2">
      <c r="A92" s="27"/>
      <c r="B92" s="28"/>
      <c r="C92" s="28" t="s">
        <v>379</v>
      </c>
      <c r="D92" s="29"/>
      <c r="E92" s="12"/>
      <c r="F92" s="31">
        <f>Source!AN44</f>
        <v>10.66</v>
      </c>
      <c r="G92" s="30" t="str">
        <f>Source!DF44</f>
        <v/>
      </c>
      <c r="H92" s="12">
        <f>Source!AV45</f>
        <v>1</v>
      </c>
      <c r="I92" s="44">
        <f>Source!R44</f>
        <v>12.79</v>
      </c>
      <c r="J92" s="12">
        <f>IF(Source!BS45&lt;&gt; 0, Source!BS45, 1)</f>
        <v>25.13</v>
      </c>
      <c r="K92" s="44">
        <f>Source!R45</f>
        <v>321.41000000000003</v>
      </c>
    </row>
    <row r="93" spans="1:22" ht="14.25" x14ac:dyDescent="0.2">
      <c r="A93" s="27"/>
      <c r="B93" s="28"/>
      <c r="C93" s="28" t="s">
        <v>386</v>
      </c>
      <c r="D93" s="29"/>
      <c r="E93" s="12"/>
      <c r="F93" s="31">
        <f>Source!AL44</f>
        <v>210.11</v>
      </c>
      <c r="G93" s="30" t="str">
        <f>Source!DD44</f>
        <v/>
      </c>
      <c r="H93" s="12">
        <f>Source!AW45</f>
        <v>1</v>
      </c>
      <c r="I93" s="32">
        <f>Source!P44</f>
        <v>252.13</v>
      </c>
      <c r="J93" s="12">
        <f>IF(Source!BC45&lt;&gt; 0, Source!BC45, 1)</f>
        <v>6.73</v>
      </c>
      <c r="K93" s="32">
        <f>Source!P45</f>
        <v>1696.83</v>
      </c>
    </row>
    <row r="94" spans="1:22" ht="42.75" x14ac:dyDescent="0.2">
      <c r="A94" s="27" t="str">
        <f>Source!E46</f>
        <v>8,1</v>
      </c>
      <c r="B94" s="28" t="str">
        <f>Source!F46</f>
        <v>1.3-3-11</v>
      </c>
      <c r="C94" s="28" t="s">
        <v>71</v>
      </c>
      <c r="D94" s="29" t="str">
        <f>Source!H46</f>
        <v>т</v>
      </c>
      <c r="E94" s="12">
        <f>Source!I46</f>
        <v>14.28</v>
      </c>
      <c r="F94" s="31">
        <f>Source!AK46</f>
        <v>301.52</v>
      </c>
      <c r="G94" s="45" t="s">
        <v>3</v>
      </c>
      <c r="H94" s="12">
        <f>Source!AW47</f>
        <v>1</v>
      </c>
      <c r="I94" s="32">
        <f>Source!O46</f>
        <v>4305.71</v>
      </c>
      <c r="J94" s="12">
        <f>IF(Source!BC47&lt;&gt; 0, Source!BC47, 1)</f>
        <v>8.7100000000000009</v>
      </c>
      <c r="K94" s="32">
        <f>Source!O47</f>
        <v>37502.730000000003</v>
      </c>
      <c r="Q94">
        <f>Source!X46</f>
        <v>0</v>
      </c>
      <c r="R94">
        <f>Source!X47</f>
        <v>0</v>
      </c>
      <c r="S94">
        <f>Source!Y46</f>
        <v>0</v>
      </c>
      <c r="T94">
        <f>Source!Y47</f>
        <v>0</v>
      </c>
      <c r="U94">
        <f>ROUND((175/100)*ROUND(Source!R46, 2), 2)</f>
        <v>0</v>
      </c>
      <c r="V94">
        <f>ROUND((157/100)*ROUND(Source!R47, 2), 2)</f>
        <v>0</v>
      </c>
    </row>
    <row r="95" spans="1:22" ht="14.25" x14ac:dyDescent="0.2">
      <c r="A95" s="27"/>
      <c r="B95" s="28"/>
      <c r="C95" s="28" t="s">
        <v>380</v>
      </c>
      <c r="D95" s="29" t="s">
        <v>381</v>
      </c>
      <c r="E95" s="12">
        <f>Source!DN45</f>
        <v>134</v>
      </c>
      <c r="F95" s="31"/>
      <c r="G95" s="30"/>
      <c r="H95" s="12"/>
      <c r="I95" s="32">
        <f>SUM(Q88:Q94)</f>
        <v>173.33</v>
      </c>
      <c r="J95" s="12">
        <f>Source!BZ45</f>
        <v>106</v>
      </c>
      <c r="K95" s="32">
        <f>SUM(R88:R94)</f>
        <v>3445.6</v>
      </c>
    </row>
    <row r="96" spans="1:22" ht="14.25" x14ac:dyDescent="0.2">
      <c r="A96" s="27"/>
      <c r="B96" s="28"/>
      <c r="C96" s="28" t="s">
        <v>382</v>
      </c>
      <c r="D96" s="29" t="s">
        <v>381</v>
      </c>
      <c r="E96" s="12">
        <f>Source!DO45</f>
        <v>83</v>
      </c>
      <c r="F96" s="31"/>
      <c r="G96" s="30"/>
      <c r="H96" s="12"/>
      <c r="I96" s="32">
        <f>SUM(S88:S95)</f>
        <v>107.36</v>
      </c>
      <c r="J96" s="12">
        <f>Source!CA45</f>
        <v>41</v>
      </c>
      <c r="K96" s="32">
        <f>SUM(T88:T95)</f>
        <v>1332.73</v>
      </c>
    </row>
    <row r="97" spans="1:22" ht="14.25" x14ac:dyDescent="0.2">
      <c r="A97" s="27"/>
      <c r="B97" s="28"/>
      <c r="C97" s="28" t="s">
        <v>383</v>
      </c>
      <c r="D97" s="29" t="s">
        <v>381</v>
      </c>
      <c r="E97" s="12">
        <f>175</f>
        <v>175</v>
      </c>
      <c r="F97" s="31"/>
      <c r="G97" s="30"/>
      <c r="H97" s="12"/>
      <c r="I97" s="32">
        <f>SUM(U88:U96)</f>
        <v>22.38</v>
      </c>
      <c r="J97" s="12">
        <f>157</f>
        <v>157</v>
      </c>
      <c r="K97" s="32">
        <f>SUM(V88:V96)</f>
        <v>504.61</v>
      </c>
    </row>
    <row r="98" spans="1:22" ht="14.25" x14ac:dyDescent="0.2">
      <c r="A98" s="34"/>
      <c r="B98" s="35"/>
      <c r="C98" s="35" t="s">
        <v>384</v>
      </c>
      <c r="D98" s="36" t="s">
        <v>385</v>
      </c>
      <c r="E98" s="37">
        <f>Source!AQ44</f>
        <v>8.9600000000000009</v>
      </c>
      <c r="F98" s="38"/>
      <c r="G98" s="39" t="str">
        <f>Source!DI44</f>
        <v/>
      </c>
      <c r="H98" s="37">
        <f>Source!AV45</f>
        <v>1</v>
      </c>
      <c r="I98" s="40">
        <f>Source!U44</f>
        <v>10.752000000000001</v>
      </c>
      <c r="J98" s="37"/>
      <c r="K98" s="40"/>
    </row>
    <row r="99" spans="1:22" ht="15" x14ac:dyDescent="0.25">
      <c r="A99" s="41"/>
      <c r="B99" s="41"/>
      <c r="C99" s="42" t="s">
        <v>376</v>
      </c>
      <c r="D99" s="41"/>
      <c r="E99" s="41"/>
      <c r="F99" s="41"/>
      <c r="G99" s="41"/>
      <c r="H99" s="70">
        <f>I90+I91+I93+I95+I96+I97+SUM(I94:I94)</f>
        <v>5134.62</v>
      </c>
      <c r="I99" s="70"/>
      <c r="J99" s="70">
        <f>K90+K91+K93+K95+K96+K97+SUM(K94:K94)</f>
        <v>48942.810000000005</v>
      </c>
      <c r="K99" s="70"/>
      <c r="O99" s="33">
        <f>I90+I91+I93+I95+I96+I97+SUM(I94:I94)</f>
        <v>5134.62</v>
      </c>
      <c r="P99" s="33">
        <f>K90+K91+K93+K95+K96+K97+SUM(K94:K94)</f>
        <v>48942.810000000005</v>
      </c>
    </row>
    <row r="102" spans="1:22" ht="15" x14ac:dyDescent="0.25">
      <c r="A102" s="67" t="str">
        <f>CONCATENATE("Итого по разделу: ",IF(Source!G49&lt;&gt;"Новый раздел", Source!G49, ""))</f>
        <v>Итого по разделу: Ремонт АБП</v>
      </c>
      <c r="B102" s="67"/>
      <c r="C102" s="67"/>
      <c r="D102" s="67"/>
      <c r="E102" s="67"/>
      <c r="F102" s="67"/>
      <c r="G102" s="67"/>
      <c r="H102" s="68">
        <f>SUM(O36:O101)</f>
        <v>14321.039999999997</v>
      </c>
      <c r="I102" s="69"/>
      <c r="J102" s="68">
        <f>SUM(P36:P101)</f>
        <v>145807.94</v>
      </c>
      <c r="K102" s="69"/>
    </row>
    <row r="103" spans="1:22" hidden="1" x14ac:dyDescent="0.2">
      <c r="A103" t="s">
        <v>387</v>
      </c>
      <c r="I103">
        <f>SUM(W36:W102)</f>
        <v>0</v>
      </c>
      <c r="J103">
        <f>SUM(X36:X102)</f>
        <v>0</v>
      </c>
    </row>
    <row r="104" spans="1:22" hidden="1" x14ac:dyDescent="0.2">
      <c r="A104" t="s">
        <v>388</v>
      </c>
      <c r="I104">
        <f>SUM(Y36:Y103)</f>
        <v>0</v>
      </c>
      <c r="J104">
        <f>SUM(Z36:Z103)</f>
        <v>0</v>
      </c>
    </row>
    <row r="106" spans="1:22" ht="16.5" x14ac:dyDescent="0.25">
      <c r="A106" s="71" t="str">
        <f>CONCATENATE("Раздел: ",IF(Source!G79&lt;&gt;"Новый раздел", Source!G79, ""))</f>
        <v>Раздел: Замена бортового гранитного камня</v>
      </c>
      <c r="B106" s="71"/>
      <c r="C106" s="71"/>
      <c r="D106" s="71"/>
      <c r="E106" s="71"/>
      <c r="F106" s="71"/>
      <c r="G106" s="71"/>
      <c r="H106" s="71"/>
      <c r="I106" s="71"/>
      <c r="J106" s="71"/>
      <c r="K106" s="71"/>
    </row>
    <row r="107" spans="1:22" ht="28.5" x14ac:dyDescent="0.2">
      <c r="A107" s="27" t="str">
        <f>Source!E83</f>
        <v>9</v>
      </c>
      <c r="B107" s="28" t="str">
        <f>Source!F83</f>
        <v>6.68-53-1</v>
      </c>
      <c r="C107" s="28" t="s">
        <v>130</v>
      </c>
      <c r="D107" s="29" t="str">
        <f>Source!H83</f>
        <v>100 м</v>
      </c>
      <c r="E107" s="12">
        <f>Source!I83</f>
        <v>1.02</v>
      </c>
      <c r="F107" s="31"/>
      <c r="G107" s="30"/>
      <c r="H107" s="12"/>
      <c r="I107" s="32"/>
      <c r="J107" s="12"/>
      <c r="K107" s="32"/>
      <c r="Q107">
        <f>Source!X83</f>
        <v>699.73</v>
      </c>
      <c r="R107">
        <f>Source!X84</f>
        <v>14946.54</v>
      </c>
      <c r="S107">
        <f>Source!Y83</f>
        <v>481.06</v>
      </c>
      <c r="T107">
        <f>Source!Y84</f>
        <v>9011.89</v>
      </c>
      <c r="U107">
        <f>ROUND((175/100)*ROUND(Source!R83, 2), 2)</f>
        <v>0</v>
      </c>
      <c r="V107">
        <f>ROUND((157/100)*ROUND(Source!R84, 2), 2)</f>
        <v>0</v>
      </c>
    </row>
    <row r="108" spans="1:22" x14ac:dyDescent="0.2">
      <c r="C108" s="43" t="str">
        <f>"Объем: "&amp;Source!I83&amp;"=102/"&amp;"100"</f>
        <v>Объем: 1,02=102/100</v>
      </c>
    </row>
    <row r="109" spans="1:22" ht="14.25" x14ac:dyDescent="0.2">
      <c r="A109" s="27"/>
      <c r="B109" s="28"/>
      <c r="C109" s="28" t="s">
        <v>377</v>
      </c>
      <c r="D109" s="29"/>
      <c r="E109" s="12"/>
      <c r="F109" s="31">
        <f>Source!AO83</f>
        <v>857.51</v>
      </c>
      <c r="G109" s="30" t="str">
        <f>Source!DG83</f>
        <v/>
      </c>
      <c r="H109" s="12">
        <f>Source!AV84</f>
        <v>1</v>
      </c>
      <c r="I109" s="32">
        <f>Source!S83</f>
        <v>874.66</v>
      </c>
      <c r="J109" s="12">
        <f>IF(Source!BA84&lt;&gt; 0, Source!BA84, 1)</f>
        <v>25.13</v>
      </c>
      <c r="K109" s="32">
        <f>Source!S84</f>
        <v>21980.21</v>
      </c>
    </row>
    <row r="110" spans="1:22" ht="14.25" x14ac:dyDescent="0.2">
      <c r="A110" s="27"/>
      <c r="B110" s="28"/>
      <c r="C110" s="28" t="s">
        <v>380</v>
      </c>
      <c r="D110" s="29" t="s">
        <v>381</v>
      </c>
      <c r="E110" s="12">
        <f>Source!DN84</f>
        <v>80</v>
      </c>
      <c r="F110" s="31"/>
      <c r="G110" s="30"/>
      <c r="H110" s="12"/>
      <c r="I110" s="32">
        <f>SUM(Q107:Q109)</f>
        <v>699.73</v>
      </c>
      <c r="J110" s="12">
        <f>Source!BZ84</f>
        <v>68</v>
      </c>
      <c r="K110" s="32">
        <f>SUM(R107:R109)</f>
        <v>14946.54</v>
      </c>
    </row>
    <row r="111" spans="1:22" ht="14.25" x14ac:dyDescent="0.2">
      <c r="A111" s="27"/>
      <c r="B111" s="28"/>
      <c r="C111" s="28" t="s">
        <v>382</v>
      </c>
      <c r="D111" s="29" t="s">
        <v>381</v>
      </c>
      <c r="E111" s="12">
        <f>Source!DO84</f>
        <v>55</v>
      </c>
      <c r="F111" s="31"/>
      <c r="G111" s="30"/>
      <c r="H111" s="12"/>
      <c r="I111" s="32">
        <f>SUM(S107:S110)</f>
        <v>481.06</v>
      </c>
      <c r="J111" s="12">
        <f>Source!CA84</f>
        <v>41</v>
      </c>
      <c r="K111" s="32">
        <f>SUM(T107:T110)</f>
        <v>9011.89</v>
      </c>
    </row>
    <row r="112" spans="1:22" ht="14.25" x14ac:dyDescent="0.2">
      <c r="A112" s="34"/>
      <c r="B112" s="35"/>
      <c r="C112" s="35" t="s">
        <v>384</v>
      </c>
      <c r="D112" s="36" t="s">
        <v>385</v>
      </c>
      <c r="E112" s="37">
        <f>Source!AQ83</f>
        <v>76.7</v>
      </c>
      <c r="F112" s="38"/>
      <c r="G112" s="39" t="str">
        <f>Source!DI83</f>
        <v/>
      </c>
      <c r="H112" s="37">
        <f>Source!AV84</f>
        <v>1</v>
      </c>
      <c r="I112" s="40">
        <f>Source!U83</f>
        <v>78.234000000000009</v>
      </c>
      <c r="J112" s="37"/>
      <c r="K112" s="40"/>
    </row>
    <row r="113" spans="1:22" ht="15" x14ac:dyDescent="0.25">
      <c r="A113" s="41"/>
      <c r="B113" s="41"/>
      <c r="C113" s="42" t="s">
        <v>376</v>
      </c>
      <c r="D113" s="41"/>
      <c r="E113" s="41"/>
      <c r="F113" s="41"/>
      <c r="G113" s="41"/>
      <c r="H113" s="70">
        <f>I109+I110+I111</f>
        <v>2055.4499999999998</v>
      </c>
      <c r="I113" s="70"/>
      <c r="J113" s="70">
        <f>K109+K110+K111</f>
        <v>45938.64</v>
      </c>
      <c r="K113" s="70"/>
      <c r="O113" s="33">
        <f>I109+I110+I111</f>
        <v>2055.4499999999998</v>
      </c>
      <c r="P113" s="33">
        <f>K109+K110+K111</f>
        <v>45938.64</v>
      </c>
    </row>
    <row r="115" spans="1:22" ht="42.75" x14ac:dyDescent="0.2">
      <c r="A115" s="27" t="str">
        <f>Source!E85</f>
        <v>10</v>
      </c>
      <c r="B115" s="28" t="str">
        <f>Source!F85</f>
        <v>6.68-13-1</v>
      </c>
      <c r="C115" s="28" t="s">
        <v>30</v>
      </c>
      <c r="D115" s="29" t="str">
        <f>Source!H85</f>
        <v>1 Т</v>
      </c>
      <c r="E115" s="12">
        <f>Source!I85</f>
        <v>26.686260000000001</v>
      </c>
      <c r="F115" s="31"/>
      <c r="G115" s="30"/>
      <c r="H115" s="12"/>
      <c r="I115" s="32"/>
      <c r="J115" s="12"/>
      <c r="K115" s="32"/>
      <c r="Q115">
        <f>Source!X85</f>
        <v>0</v>
      </c>
      <c r="R115">
        <f>Source!X86</f>
        <v>0</v>
      </c>
      <c r="S115">
        <f>Source!Y85</f>
        <v>0</v>
      </c>
      <c r="T115">
        <f>Source!Y86</f>
        <v>0</v>
      </c>
      <c r="U115">
        <f>ROUND((175/100)*ROUND(Source!R85, 2), 2)</f>
        <v>69.13</v>
      </c>
      <c r="V115">
        <f>ROUND((157/100)*ROUND(Source!R86, 2), 2)</f>
        <v>1558.44</v>
      </c>
    </row>
    <row r="116" spans="1:22" x14ac:dyDescent="0.2">
      <c r="C116" s="43" t="str">
        <f>"Объем: "&amp;Source!I85&amp;"=102*"&amp;"(0,043+"&amp;"0,059)*"&amp;"2,7*"&amp;"0,95"</f>
        <v>Объем: 26,68626=102*(0,043+0,059)*2,7*0,95</v>
      </c>
    </row>
    <row r="117" spans="1:22" ht="14.25" x14ac:dyDescent="0.2">
      <c r="A117" s="27"/>
      <c r="B117" s="28"/>
      <c r="C117" s="28" t="s">
        <v>378</v>
      </c>
      <c r="D117" s="29"/>
      <c r="E117" s="12"/>
      <c r="F117" s="31">
        <f>Source!AM85</f>
        <v>8.86</v>
      </c>
      <c r="G117" s="30" t="str">
        <f>Source!DE85</f>
        <v/>
      </c>
      <c r="H117" s="12">
        <f>Source!AV86</f>
        <v>1</v>
      </c>
      <c r="I117" s="32">
        <f>Source!Q85</f>
        <v>236.44</v>
      </c>
      <c r="J117" s="12">
        <f>IF(Source!BB86&lt;&gt; 0, Source!BB86, 1)</f>
        <v>9</v>
      </c>
      <c r="K117" s="32">
        <f>Source!Q86</f>
        <v>2127.96</v>
      </c>
    </row>
    <row r="118" spans="1:22" ht="14.25" x14ac:dyDescent="0.2">
      <c r="A118" s="27"/>
      <c r="B118" s="28"/>
      <c r="C118" s="28" t="s">
        <v>379</v>
      </c>
      <c r="D118" s="29"/>
      <c r="E118" s="12"/>
      <c r="F118" s="31">
        <f>Source!AN85</f>
        <v>1.48</v>
      </c>
      <c r="G118" s="30" t="str">
        <f>Source!DF85</f>
        <v/>
      </c>
      <c r="H118" s="12">
        <f>Source!AV86</f>
        <v>1</v>
      </c>
      <c r="I118" s="44">
        <f>Source!R85</f>
        <v>39.5</v>
      </c>
      <c r="J118" s="12">
        <f>IF(Source!BS86&lt;&gt; 0, Source!BS86, 1)</f>
        <v>25.13</v>
      </c>
      <c r="K118" s="44">
        <f>Source!R86</f>
        <v>992.64</v>
      </c>
    </row>
    <row r="119" spans="1:22" ht="14.25" x14ac:dyDescent="0.2">
      <c r="A119" s="34"/>
      <c r="B119" s="35"/>
      <c r="C119" s="35" t="s">
        <v>383</v>
      </c>
      <c r="D119" s="36" t="s">
        <v>381</v>
      </c>
      <c r="E119" s="37">
        <f>175</f>
        <v>175</v>
      </c>
      <c r="F119" s="38"/>
      <c r="G119" s="39"/>
      <c r="H119" s="37"/>
      <c r="I119" s="40">
        <f>SUM(U115:U118)</f>
        <v>69.13</v>
      </c>
      <c r="J119" s="37">
        <f>157</f>
        <v>157</v>
      </c>
      <c r="K119" s="40">
        <f>SUM(V115:V118)</f>
        <v>1558.44</v>
      </c>
    </row>
    <row r="120" spans="1:22" ht="15" x14ac:dyDescent="0.25">
      <c r="A120" s="41"/>
      <c r="B120" s="41"/>
      <c r="C120" s="42" t="s">
        <v>376</v>
      </c>
      <c r="D120" s="41"/>
      <c r="E120" s="41"/>
      <c r="F120" s="41"/>
      <c r="G120" s="41"/>
      <c r="H120" s="70">
        <f>I117+I119</f>
        <v>305.57</v>
      </c>
      <c r="I120" s="70"/>
      <c r="J120" s="70">
        <f>K117+K119</f>
        <v>3686.4</v>
      </c>
      <c r="K120" s="70"/>
      <c r="O120" s="33">
        <f>I117+I119</f>
        <v>305.57</v>
      </c>
      <c r="P120" s="33">
        <f>K117+K119</f>
        <v>3686.4</v>
      </c>
    </row>
    <row r="122" spans="1:22" ht="42.75" x14ac:dyDescent="0.2">
      <c r="A122" s="27" t="str">
        <f>Source!E87</f>
        <v>11</v>
      </c>
      <c r="B122" s="28" t="str">
        <f>Source!F87</f>
        <v>6.69-19-1</v>
      </c>
      <c r="C122" s="28" t="s">
        <v>37</v>
      </c>
      <c r="D122" s="29" t="str">
        <f>Source!H87</f>
        <v>1 Т</v>
      </c>
      <c r="E122" s="12">
        <f>Source!I87</f>
        <v>1.4045399999999999</v>
      </c>
      <c r="F122" s="31"/>
      <c r="G122" s="30"/>
      <c r="H122" s="12"/>
      <c r="I122" s="32"/>
      <c r="J122" s="12"/>
      <c r="K122" s="32"/>
      <c r="Q122">
        <f>Source!X87</f>
        <v>12.29</v>
      </c>
      <c r="R122">
        <f>Source!X88</f>
        <v>247.84</v>
      </c>
      <c r="S122">
        <f>Source!Y87</f>
        <v>9.4600000000000009</v>
      </c>
      <c r="T122">
        <f>Source!Y88</f>
        <v>139.19999999999999</v>
      </c>
      <c r="U122">
        <f>ROUND((175/100)*ROUND(Source!R87, 2), 2)</f>
        <v>0</v>
      </c>
      <c r="V122">
        <f>ROUND((157/100)*ROUND(Source!R88, 2), 2)</f>
        <v>0</v>
      </c>
    </row>
    <row r="123" spans="1:22" x14ac:dyDescent="0.2">
      <c r="C123" s="43" t="str">
        <f>"Объем: "&amp;Source!I87&amp;"="&amp;Source!I85&amp;"/"&amp;"0,95*"&amp;"0,05"</f>
        <v>Объем: 1,40454=26,68626/0,95*0,05</v>
      </c>
    </row>
    <row r="124" spans="1:22" ht="14.25" x14ac:dyDescent="0.2">
      <c r="A124" s="27"/>
      <c r="B124" s="28"/>
      <c r="C124" s="28" t="s">
        <v>377</v>
      </c>
      <c r="D124" s="29"/>
      <c r="E124" s="12"/>
      <c r="F124" s="31">
        <f>Source!AO87</f>
        <v>9.6199999999999992</v>
      </c>
      <c r="G124" s="30" t="str">
        <f>Source!DG87</f>
        <v/>
      </c>
      <c r="H124" s="12">
        <f>Source!AV88</f>
        <v>1</v>
      </c>
      <c r="I124" s="32">
        <f>Source!S87</f>
        <v>13.51</v>
      </c>
      <c r="J124" s="12">
        <f>IF(Source!BA88&lt;&gt; 0, Source!BA88, 1)</f>
        <v>25.13</v>
      </c>
      <c r="K124" s="32">
        <f>Source!S88</f>
        <v>339.51</v>
      </c>
    </row>
    <row r="125" spans="1:22" ht="14.25" x14ac:dyDescent="0.2">
      <c r="A125" s="27"/>
      <c r="B125" s="28"/>
      <c r="C125" s="28" t="s">
        <v>380</v>
      </c>
      <c r="D125" s="29" t="s">
        <v>381</v>
      </c>
      <c r="E125" s="12">
        <f>Source!DN88</f>
        <v>91</v>
      </c>
      <c r="F125" s="31"/>
      <c r="G125" s="30"/>
      <c r="H125" s="12"/>
      <c r="I125" s="32">
        <f>SUM(Q122:Q124)</f>
        <v>12.29</v>
      </c>
      <c r="J125" s="12">
        <f>Source!BZ88</f>
        <v>73</v>
      </c>
      <c r="K125" s="32">
        <f>SUM(R122:R124)</f>
        <v>247.84</v>
      </c>
    </row>
    <row r="126" spans="1:22" ht="14.25" x14ac:dyDescent="0.2">
      <c r="A126" s="27"/>
      <c r="B126" s="28"/>
      <c r="C126" s="28" t="s">
        <v>382</v>
      </c>
      <c r="D126" s="29" t="s">
        <v>381</v>
      </c>
      <c r="E126" s="12">
        <f>Source!DO88</f>
        <v>70</v>
      </c>
      <c r="F126" s="31"/>
      <c r="G126" s="30"/>
      <c r="H126" s="12"/>
      <c r="I126" s="32">
        <f>SUM(S122:S125)</f>
        <v>9.4600000000000009</v>
      </c>
      <c r="J126" s="12">
        <f>Source!CA88</f>
        <v>41</v>
      </c>
      <c r="K126" s="32">
        <f>SUM(T122:T125)</f>
        <v>139.19999999999999</v>
      </c>
    </row>
    <row r="127" spans="1:22" ht="14.25" x14ac:dyDescent="0.2">
      <c r="A127" s="34"/>
      <c r="B127" s="35"/>
      <c r="C127" s="35" t="s">
        <v>384</v>
      </c>
      <c r="D127" s="36" t="s">
        <v>385</v>
      </c>
      <c r="E127" s="37">
        <f>Source!AQ87</f>
        <v>1.02</v>
      </c>
      <c r="F127" s="38"/>
      <c r="G127" s="39" t="str">
        <f>Source!DI87</f>
        <v/>
      </c>
      <c r="H127" s="37">
        <f>Source!AV88</f>
        <v>1</v>
      </c>
      <c r="I127" s="40">
        <f>Source!U87</f>
        <v>1.4326307999999999</v>
      </c>
      <c r="J127" s="37"/>
      <c r="K127" s="40"/>
    </row>
    <row r="128" spans="1:22" ht="15" x14ac:dyDescent="0.25">
      <c r="A128" s="41"/>
      <c r="B128" s="41"/>
      <c r="C128" s="42" t="s">
        <v>376</v>
      </c>
      <c r="D128" s="41"/>
      <c r="E128" s="41"/>
      <c r="F128" s="41"/>
      <c r="G128" s="41"/>
      <c r="H128" s="70">
        <f>I124+I125+I126</f>
        <v>35.26</v>
      </c>
      <c r="I128" s="70"/>
      <c r="J128" s="70">
        <f>K124+K125+K126</f>
        <v>726.55</v>
      </c>
      <c r="K128" s="70"/>
      <c r="O128" s="33">
        <f>I124+I125+I126</f>
        <v>35.26</v>
      </c>
      <c r="P128" s="33">
        <f>K124+K125+K126</f>
        <v>726.55</v>
      </c>
    </row>
    <row r="130" spans="1:22" ht="42.75" x14ac:dyDescent="0.2">
      <c r="A130" s="27" t="str">
        <f>Source!E89</f>
        <v>12</v>
      </c>
      <c r="B130" s="28" t="str">
        <f>Source!F89</f>
        <v>15.2-52-11</v>
      </c>
      <c r="C130" s="28" t="s">
        <v>43</v>
      </c>
      <c r="D130" s="29" t="str">
        <f>Source!H89</f>
        <v>т</v>
      </c>
      <c r="E130" s="12">
        <f>Source!I89</f>
        <v>28.090800000000002</v>
      </c>
      <c r="F130" s="31"/>
      <c r="G130" s="30"/>
      <c r="H130" s="12"/>
      <c r="I130" s="32"/>
      <c r="J130" s="12"/>
      <c r="K130" s="32"/>
      <c r="Q130">
        <f>Source!X89</f>
        <v>0</v>
      </c>
      <c r="R130">
        <f>Source!X90</f>
        <v>0</v>
      </c>
      <c r="S130">
        <f>Source!Y89</f>
        <v>0</v>
      </c>
      <c r="T130">
        <f>Source!Y90</f>
        <v>0</v>
      </c>
      <c r="U130">
        <f>ROUND((175/100)*ROUND(Source!R89, 2), 2)</f>
        <v>0</v>
      </c>
      <c r="V130">
        <f>ROUND((157/100)*ROUND(Source!R90, 2), 2)</f>
        <v>0</v>
      </c>
    </row>
    <row r="131" spans="1:22" x14ac:dyDescent="0.2">
      <c r="C131" s="43" t="str">
        <f>"Объем: "&amp;Source!I89&amp;"="&amp;Source!I85&amp;"+"&amp;""&amp;Source!I87&amp;""</f>
        <v>Объем: 28,0908=26,68626+1,40454</v>
      </c>
    </row>
    <row r="132" spans="1:22" ht="14.25" x14ac:dyDescent="0.2">
      <c r="A132" s="34"/>
      <c r="B132" s="35"/>
      <c r="C132" s="35" t="s">
        <v>378</v>
      </c>
      <c r="D132" s="36"/>
      <c r="E132" s="37"/>
      <c r="F132" s="38">
        <f>Source!AM89</f>
        <v>56.8</v>
      </c>
      <c r="G132" s="39" t="str">
        <f>Source!DE89</f>
        <v/>
      </c>
      <c r="H132" s="37">
        <f>Source!AV90</f>
        <v>1</v>
      </c>
      <c r="I132" s="40">
        <f>Source!Q89</f>
        <v>1595.56</v>
      </c>
      <c r="J132" s="37">
        <f>IF(Source!BB90&lt;&gt; 0, Source!BB90, 1)</f>
        <v>10.32</v>
      </c>
      <c r="K132" s="40">
        <f>Source!Q90</f>
        <v>16466.18</v>
      </c>
    </row>
    <row r="133" spans="1:22" ht="15" x14ac:dyDescent="0.25">
      <c r="A133" s="41"/>
      <c r="B133" s="41"/>
      <c r="C133" s="42" t="s">
        <v>376</v>
      </c>
      <c r="D133" s="41"/>
      <c r="E133" s="41"/>
      <c r="F133" s="41"/>
      <c r="G133" s="41"/>
      <c r="H133" s="70">
        <f>I132</f>
        <v>1595.56</v>
      </c>
      <c r="I133" s="70"/>
      <c r="J133" s="70">
        <f>K132</f>
        <v>16466.18</v>
      </c>
      <c r="K133" s="70"/>
      <c r="O133" s="33">
        <f>I132</f>
        <v>1595.56</v>
      </c>
      <c r="P133" s="33">
        <f>K132</f>
        <v>16466.18</v>
      </c>
    </row>
    <row r="135" spans="1:22" ht="57" x14ac:dyDescent="0.2">
      <c r="A135" s="27" t="str">
        <f>Source!E91</f>
        <v>13</v>
      </c>
      <c r="B135" s="28" t="str">
        <f>Source!F91</f>
        <v>15.1-1200-01</v>
      </c>
      <c r="C135" s="28" t="s">
        <v>138</v>
      </c>
      <c r="D135" s="29" t="str">
        <f>Source!H91</f>
        <v>1 Т</v>
      </c>
      <c r="E135" s="12">
        <f>Source!I91</f>
        <v>28.090800000000002</v>
      </c>
      <c r="F135" s="31"/>
      <c r="G135" s="30"/>
      <c r="H135" s="12"/>
      <c r="I135" s="32"/>
      <c r="J135" s="12"/>
      <c r="K135" s="32"/>
      <c r="Q135">
        <f>Source!X91</f>
        <v>0</v>
      </c>
      <c r="R135">
        <f>Source!X92</f>
        <v>0</v>
      </c>
      <c r="S135">
        <f>Source!Y91</f>
        <v>0</v>
      </c>
      <c r="T135">
        <f>Source!Y92</f>
        <v>0</v>
      </c>
      <c r="U135">
        <f>ROUND((175/100)*ROUND(Source!R91, 2), 2)</f>
        <v>0</v>
      </c>
      <c r="V135">
        <f>ROUND((157/100)*ROUND(Source!R92, 2), 2)</f>
        <v>0</v>
      </c>
    </row>
    <row r="136" spans="1:22" ht="14.25" x14ac:dyDescent="0.2">
      <c r="A136" s="34"/>
      <c r="B136" s="35"/>
      <c r="C136" s="35" t="s">
        <v>378</v>
      </c>
      <c r="D136" s="36"/>
      <c r="E136" s="37"/>
      <c r="F136" s="38">
        <f>Source!AM91</f>
        <v>21.71</v>
      </c>
      <c r="G136" s="39" t="str">
        <f>Source!DE91</f>
        <v/>
      </c>
      <c r="H136" s="37">
        <f>Source!AV92</f>
        <v>1</v>
      </c>
      <c r="I136" s="40">
        <f>Source!Q91</f>
        <v>609.85</v>
      </c>
      <c r="J136" s="37">
        <f>IF(Source!BB92&lt;&gt; 0, Source!BB92, 1)</f>
        <v>7.63</v>
      </c>
      <c r="K136" s="40">
        <f>Source!Q92</f>
        <v>4653.16</v>
      </c>
    </row>
    <row r="137" spans="1:22" ht="15" x14ac:dyDescent="0.25">
      <c r="A137" s="41"/>
      <c r="B137" s="41"/>
      <c r="C137" s="42" t="s">
        <v>376</v>
      </c>
      <c r="D137" s="41"/>
      <c r="E137" s="41"/>
      <c r="F137" s="41"/>
      <c r="G137" s="41"/>
      <c r="H137" s="70">
        <f>I136</f>
        <v>609.85</v>
      </c>
      <c r="I137" s="70"/>
      <c r="J137" s="70">
        <f>K136</f>
        <v>4653.16</v>
      </c>
      <c r="K137" s="70"/>
      <c r="O137" s="33">
        <f>I136</f>
        <v>609.85</v>
      </c>
      <c r="P137" s="33">
        <f>K136</f>
        <v>4653.16</v>
      </c>
    </row>
    <row r="139" spans="1:22" ht="99.75" x14ac:dyDescent="0.2">
      <c r="A139" s="27" t="str">
        <f>Source!E93</f>
        <v>14</v>
      </c>
      <c r="B139" s="28" t="str">
        <f>Source!F93</f>
        <v>3.27-12-1</v>
      </c>
      <c r="C139" s="28" t="s">
        <v>142</v>
      </c>
      <c r="D139" s="29" t="str">
        <f>Source!H93</f>
        <v>100 м3 материала основания (в плотном теле)</v>
      </c>
      <c r="E139" s="12">
        <f>Source!I93</f>
        <v>3.5700000000000003E-2</v>
      </c>
      <c r="F139" s="31"/>
      <c r="G139" s="30"/>
      <c r="H139" s="12"/>
      <c r="I139" s="32"/>
      <c r="J139" s="12"/>
      <c r="K139" s="32"/>
      <c r="Q139">
        <f>Source!X93</f>
        <v>8.7100000000000009</v>
      </c>
      <c r="R139">
        <f>Source!X94</f>
        <v>178.09</v>
      </c>
      <c r="S139">
        <f>Source!Y93</f>
        <v>5.79</v>
      </c>
      <c r="T139">
        <f>Source!Y94</f>
        <v>73.41</v>
      </c>
      <c r="U139">
        <f>ROUND((175/100)*ROUND(Source!R93, 2), 2)</f>
        <v>6.62</v>
      </c>
      <c r="V139">
        <f>ROUND((157/100)*ROUND(Source!R94, 2), 2)</f>
        <v>149.13</v>
      </c>
    </row>
    <row r="140" spans="1:22" x14ac:dyDescent="0.2">
      <c r="C140" s="43" t="str">
        <f>"Объем: "&amp;Source!I93&amp;"="&amp;Source!I83&amp;"*"&amp;"0,35*"&amp;"0,1"</f>
        <v>Объем: 0,0357=1,02*0,35*0,1</v>
      </c>
    </row>
    <row r="141" spans="1:22" ht="14.25" x14ac:dyDescent="0.2">
      <c r="A141" s="27"/>
      <c r="B141" s="28"/>
      <c r="C141" s="28" t="s">
        <v>377</v>
      </c>
      <c r="D141" s="29"/>
      <c r="E141" s="12"/>
      <c r="F141" s="31">
        <f>Source!AO93</f>
        <v>151.49</v>
      </c>
      <c r="G141" s="30" t="str">
        <f>Source!DG93</f>
        <v/>
      </c>
      <c r="H141" s="12">
        <f>Source!AV94</f>
        <v>1</v>
      </c>
      <c r="I141" s="32">
        <f>Source!S93</f>
        <v>5.41</v>
      </c>
      <c r="J141" s="12">
        <f>IF(Source!BA94&lt;&gt; 0, Source!BA94, 1)</f>
        <v>25.13</v>
      </c>
      <c r="K141" s="32">
        <f>Source!S94</f>
        <v>135.94999999999999</v>
      </c>
    </row>
    <row r="142" spans="1:22" ht="14.25" x14ac:dyDescent="0.2">
      <c r="A142" s="27"/>
      <c r="B142" s="28"/>
      <c r="C142" s="28" t="s">
        <v>378</v>
      </c>
      <c r="D142" s="29"/>
      <c r="E142" s="12"/>
      <c r="F142" s="31">
        <f>Source!AM93</f>
        <v>745.18</v>
      </c>
      <c r="G142" s="30" t="str">
        <f>Source!DE93</f>
        <v/>
      </c>
      <c r="H142" s="12">
        <f>Source!AV94</f>
        <v>1</v>
      </c>
      <c r="I142" s="32">
        <f>Source!Q93</f>
        <v>26.6</v>
      </c>
      <c r="J142" s="12">
        <f>IF(Source!BB94&lt;&gt; 0, Source!BB94, 1)</f>
        <v>9.64</v>
      </c>
      <c r="K142" s="32">
        <f>Source!Q94</f>
        <v>256.42</v>
      </c>
    </row>
    <row r="143" spans="1:22" ht="14.25" x14ac:dyDescent="0.2">
      <c r="A143" s="27"/>
      <c r="B143" s="28"/>
      <c r="C143" s="28" t="s">
        <v>379</v>
      </c>
      <c r="D143" s="29"/>
      <c r="E143" s="12"/>
      <c r="F143" s="31">
        <f>Source!AN93</f>
        <v>105.99</v>
      </c>
      <c r="G143" s="30" t="str">
        <f>Source!DF93</f>
        <v/>
      </c>
      <c r="H143" s="12">
        <f>Source!AV94</f>
        <v>1</v>
      </c>
      <c r="I143" s="44">
        <f>Source!R93</f>
        <v>3.78</v>
      </c>
      <c r="J143" s="12">
        <f>IF(Source!BS94&lt;&gt; 0, Source!BS94, 1)</f>
        <v>25.13</v>
      </c>
      <c r="K143" s="44">
        <f>Source!R94</f>
        <v>94.99</v>
      </c>
    </row>
    <row r="144" spans="1:22" ht="14.25" x14ac:dyDescent="0.2">
      <c r="A144" s="27"/>
      <c r="B144" s="28"/>
      <c r="C144" s="28" t="s">
        <v>386</v>
      </c>
      <c r="D144" s="29"/>
      <c r="E144" s="12"/>
      <c r="F144" s="31">
        <f>Source!AL93</f>
        <v>35.35</v>
      </c>
      <c r="G144" s="30" t="str">
        <f>Source!DD93</f>
        <v/>
      </c>
      <c r="H144" s="12">
        <f>Source!AW94</f>
        <v>1</v>
      </c>
      <c r="I144" s="32">
        <f>Source!P93</f>
        <v>1.26</v>
      </c>
      <c r="J144" s="12">
        <f>IF(Source!BC94&lt;&gt; 0, Source!BC94, 1)</f>
        <v>4.99</v>
      </c>
      <c r="K144" s="32">
        <f>Source!P94</f>
        <v>6.29</v>
      </c>
    </row>
    <row r="145" spans="1:22" ht="28.5" x14ac:dyDescent="0.2">
      <c r="A145" s="27" t="str">
        <f>Source!E95</f>
        <v>14,1</v>
      </c>
      <c r="B145" s="28" t="str">
        <f>Source!F95</f>
        <v>1.1-1-766</v>
      </c>
      <c r="C145" s="28" t="s">
        <v>149</v>
      </c>
      <c r="D145" s="29" t="str">
        <f>Source!H95</f>
        <v>м3</v>
      </c>
      <c r="E145" s="12">
        <f>Source!I95</f>
        <v>3.9270000000000005</v>
      </c>
      <c r="F145" s="31">
        <f>Source!AK95</f>
        <v>104.99</v>
      </c>
      <c r="G145" s="45" t="s">
        <v>3</v>
      </c>
      <c r="H145" s="12">
        <f>Source!AW96</f>
        <v>1</v>
      </c>
      <c r="I145" s="32">
        <f>Source!O95</f>
        <v>412.3</v>
      </c>
      <c r="J145" s="12">
        <f>IF(Source!BC96&lt;&gt; 0, Source!BC96, 1)</f>
        <v>5.26</v>
      </c>
      <c r="K145" s="32">
        <f>Source!O96</f>
        <v>2168.6999999999998</v>
      </c>
      <c r="Q145">
        <f>Source!X95</f>
        <v>0</v>
      </c>
      <c r="R145">
        <f>Source!X96</f>
        <v>0</v>
      </c>
      <c r="S145">
        <f>Source!Y95</f>
        <v>0</v>
      </c>
      <c r="T145">
        <f>Source!Y96</f>
        <v>0</v>
      </c>
      <c r="U145">
        <f>ROUND((175/100)*ROUND(Source!R95, 2), 2)</f>
        <v>0</v>
      </c>
      <c r="V145">
        <f>ROUND((157/100)*ROUND(Source!R96, 2), 2)</f>
        <v>0</v>
      </c>
    </row>
    <row r="146" spans="1:22" ht="14.25" x14ac:dyDescent="0.2">
      <c r="A146" s="27"/>
      <c r="B146" s="28"/>
      <c r="C146" s="28" t="s">
        <v>380</v>
      </c>
      <c r="D146" s="29" t="s">
        <v>381</v>
      </c>
      <c r="E146" s="12">
        <f>Source!DN94</f>
        <v>161</v>
      </c>
      <c r="F146" s="31"/>
      <c r="G146" s="30"/>
      <c r="H146" s="12"/>
      <c r="I146" s="32">
        <f>SUM(Q139:Q145)</f>
        <v>8.7100000000000009</v>
      </c>
      <c r="J146" s="12">
        <f>Source!BZ94</f>
        <v>131</v>
      </c>
      <c r="K146" s="32">
        <f>SUM(R139:R145)</f>
        <v>178.09</v>
      </c>
    </row>
    <row r="147" spans="1:22" ht="14.25" x14ac:dyDescent="0.2">
      <c r="A147" s="27"/>
      <c r="B147" s="28"/>
      <c r="C147" s="28" t="s">
        <v>382</v>
      </c>
      <c r="D147" s="29" t="s">
        <v>381</v>
      </c>
      <c r="E147" s="12">
        <f>Source!DO94</f>
        <v>107</v>
      </c>
      <c r="F147" s="31"/>
      <c r="G147" s="30"/>
      <c r="H147" s="12"/>
      <c r="I147" s="32">
        <f>SUM(S139:S146)</f>
        <v>5.79</v>
      </c>
      <c r="J147" s="12">
        <f>Source!CA94</f>
        <v>54</v>
      </c>
      <c r="K147" s="32">
        <f>SUM(T139:T146)</f>
        <v>73.41</v>
      </c>
    </row>
    <row r="148" spans="1:22" ht="14.25" x14ac:dyDescent="0.2">
      <c r="A148" s="27"/>
      <c r="B148" s="28"/>
      <c r="C148" s="28" t="s">
        <v>383</v>
      </c>
      <c r="D148" s="29" t="s">
        <v>381</v>
      </c>
      <c r="E148" s="12">
        <f>175</f>
        <v>175</v>
      </c>
      <c r="F148" s="31"/>
      <c r="G148" s="30"/>
      <c r="H148" s="12"/>
      <c r="I148" s="32">
        <f>SUM(U139:U147)</f>
        <v>6.62</v>
      </c>
      <c r="J148" s="12">
        <f>157</f>
        <v>157</v>
      </c>
      <c r="K148" s="32">
        <f>SUM(V139:V147)</f>
        <v>149.13</v>
      </c>
    </row>
    <row r="149" spans="1:22" ht="14.25" x14ac:dyDescent="0.2">
      <c r="A149" s="34"/>
      <c r="B149" s="35"/>
      <c r="C149" s="35" t="s">
        <v>384</v>
      </c>
      <c r="D149" s="36" t="s">
        <v>385</v>
      </c>
      <c r="E149" s="37">
        <f>Source!AQ93</f>
        <v>14.4</v>
      </c>
      <c r="F149" s="38"/>
      <c r="G149" s="39" t="str">
        <f>Source!DI93</f>
        <v/>
      </c>
      <c r="H149" s="37">
        <f>Source!AV94</f>
        <v>1</v>
      </c>
      <c r="I149" s="40">
        <f>Source!U93</f>
        <v>0.51408000000000009</v>
      </c>
      <c r="J149" s="37"/>
      <c r="K149" s="40"/>
    </row>
    <row r="150" spans="1:22" ht="15" x14ac:dyDescent="0.25">
      <c r="A150" s="41"/>
      <c r="B150" s="41"/>
      <c r="C150" s="42" t="s">
        <v>376</v>
      </c>
      <c r="D150" s="41"/>
      <c r="E150" s="41"/>
      <c r="F150" s="41"/>
      <c r="G150" s="41"/>
      <c r="H150" s="70">
        <f>I141+I142+I144+I146+I147+I148+SUM(I145:I145)</f>
        <v>466.69</v>
      </c>
      <c r="I150" s="70"/>
      <c r="J150" s="70">
        <f>K141+K142+K144+K146+K147+K148+SUM(K145:K145)</f>
        <v>2967.99</v>
      </c>
      <c r="K150" s="70"/>
      <c r="O150" s="33">
        <f>I141+I142+I144+I146+I147+I148+SUM(I145:I145)</f>
        <v>466.69</v>
      </c>
      <c r="P150" s="33">
        <f>K141+K142+K144+K146+K147+K148+SUM(K145:K145)</f>
        <v>2967.99</v>
      </c>
    </row>
    <row r="152" spans="1:22" ht="42.75" x14ac:dyDescent="0.2">
      <c r="A152" s="27" t="str">
        <f>Source!E97</f>
        <v>15</v>
      </c>
      <c r="B152" s="28" t="str">
        <f>Source!F97</f>
        <v>3.27-26-4</v>
      </c>
      <c r="C152" s="28" t="s">
        <v>154</v>
      </c>
      <c r="D152" s="29" t="str">
        <f>Source!H97</f>
        <v>100 м бортового камня</v>
      </c>
      <c r="E152" s="12">
        <f>Source!I97</f>
        <v>1.02</v>
      </c>
      <c r="F152" s="31"/>
      <c r="G152" s="30"/>
      <c r="H152" s="12"/>
      <c r="I152" s="32"/>
      <c r="J152" s="12"/>
      <c r="K152" s="32"/>
      <c r="Q152">
        <f>Source!X97</f>
        <v>1773.58</v>
      </c>
      <c r="R152">
        <f>Source!X98</f>
        <v>36265.01</v>
      </c>
      <c r="S152">
        <f>Source!Y97</f>
        <v>1178.71</v>
      </c>
      <c r="T152">
        <f>Source!Y98</f>
        <v>14948.93</v>
      </c>
      <c r="U152">
        <f>ROUND((175/100)*ROUND(Source!R97, 2), 2)</f>
        <v>19.760000000000002</v>
      </c>
      <c r="V152">
        <f>ROUND((157/100)*ROUND(Source!R98, 2), 2)</f>
        <v>445.44</v>
      </c>
    </row>
    <row r="153" spans="1:22" ht="14.25" x14ac:dyDescent="0.2">
      <c r="A153" s="27"/>
      <c r="B153" s="28"/>
      <c r="C153" s="28" t="s">
        <v>377</v>
      </c>
      <c r="D153" s="29"/>
      <c r="E153" s="12"/>
      <c r="F153" s="31">
        <f>Source!AO97</f>
        <v>1080</v>
      </c>
      <c r="G153" s="30" t="str">
        <f>Source!DG97</f>
        <v/>
      </c>
      <c r="H153" s="12">
        <f>Source!AV98</f>
        <v>1</v>
      </c>
      <c r="I153" s="32">
        <f>Source!S97</f>
        <v>1101.5999999999999</v>
      </c>
      <c r="J153" s="12">
        <f>IF(Source!BA98&lt;&gt; 0, Source!BA98, 1)</f>
        <v>25.13</v>
      </c>
      <c r="K153" s="32">
        <f>Source!S98</f>
        <v>27683.21</v>
      </c>
    </row>
    <row r="154" spans="1:22" ht="14.25" x14ac:dyDescent="0.2">
      <c r="A154" s="27"/>
      <c r="B154" s="28"/>
      <c r="C154" s="28" t="s">
        <v>378</v>
      </c>
      <c r="D154" s="29"/>
      <c r="E154" s="12"/>
      <c r="F154" s="31">
        <f>Source!AM97</f>
        <v>116.47</v>
      </c>
      <c r="G154" s="30" t="str">
        <f>Source!DE97</f>
        <v/>
      </c>
      <c r="H154" s="12">
        <f>Source!AV98</f>
        <v>1</v>
      </c>
      <c r="I154" s="32">
        <f>Source!Q97</f>
        <v>118.8</v>
      </c>
      <c r="J154" s="12">
        <f>IF(Source!BB98&lt;&gt; 0, Source!BB98, 1)</f>
        <v>8.43</v>
      </c>
      <c r="K154" s="32">
        <f>Source!Q98</f>
        <v>1001.48</v>
      </c>
    </row>
    <row r="155" spans="1:22" ht="14.25" x14ac:dyDescent="0.2">
      <c r="A155" s="27"/>
      <c r="B155" s="28"/>
      <c r="C155" s="28" t="s">
        <v>379</v>
      </c>
      <c r="D155" s="29"/>
      <c r="E155" s="12"/>
      <c r="F155" s="31">
        <f>Source!AN97</f>
        <v>11.07</v>
      </c>
      <c r="G155" s="30" t="str">
        <f>Source!DF97</f>
        <v/>
      </c>
      <c r="H155" s="12">
        <f>Source!AV98</f>
        <v>1</v>
      </c>
      <c r="I155" s="44">
        <f>Source!R97</f>
        <v>11.29</v>
      </c>
      <c r="J155" s="12">
        <f>IF(Source!BS98&lt;&gt; 0, Source!BS98, 1)</f>
        <v>25.13</v>
      </c>
      <c r="K155" s="44">
        <f>Source!R98</f>
        <v>283.72000000000003</v>
      </c>
    </row>
    <row r="156" spans="1:22" ht="14.25" x14ac:dyDescent="0.2">
      <c r="A156" s="27"/>
      <c r="B156" s="28"/>
      <c r="C156" s="28" t="s">
        <v>386</v>
      </c>
      <c r="D156" s="29"/>
      <c r="E156" s="12"/>
      <c r="F156" s="31">
        <f>Source!AL97</f>
        <v>4302.26</v>
      </c>
      <c r="G156" s="30" t="str">
        <f>Source!DD97</f>
        <v/>
      </c>
      <c r="H156" s="12">
        <f>Source!AW98</f>
        <v>1</v>
      </c>
      <c r="I156" s="32">
        <f>Source!P97</f>
        <v>4388.3100000000004</v>
      </c>
      <c r="J156" s="12">
        <f>IF(Source!BC98&lt;&gt; 0, Source!BC98, 1)</f>
        <v>5.89</v>
      </c>
      <c r="K156" s="32">
        <f>Source!P98</f>
        <v>25847.15</v>
      </c>
    </row>
    <row r="157" spans="1:22" ht="28.5" x14ac:dyDescent="0.2">
      <c r="A157" s="27" t="str">
        <f>Source!E99</f>
        <v>15,1</v>
      </c>
      <c r="B157" s="28" t="str">
        <f>Source!F99</f>
        <v>1.11-4-23</v>
      </c>
      <c r="C157" s="28" t="s">
        <v>161</v>
      </c>
      <c r="D157" s="29" t="str">
        <f>Source!H99</f>
        <v>м</v>
      </c>
      <c r="E157" s="12">
        <f>Source!I99</f>
        <v>102</v>
      </c>
      <c r="F157" s="31">
        <f>Source!AK99</f>
        <v>1104.55</v>
      </c>
      <c r="G157" s="45" t="s">
        <v>3</v>
      </c>
      <c r="H157" s="12">
        <f>Source!AW100</f>
        <v>1</v>
      </c>
      <c r="I157" s="32">
        <f>Source!O99</f>
        <v>112664.1</v>
      </c>
      <c r="J157" s="12">
        <f>IF(Source!BC100&lt;&gt; 0, Source!BC100, 1)</f>
        <v>2.15</v>
      </c>
      <c r="K157" s="32">
        <f>Source!O100</f>
        <v>242227.82</v>
      </c>
      <c r="Q157">
        <f>Source!X99</f>
        <v>0</v>
      </c>
      <c r="R157">
        <f>Source!X100</f>
        <v>0</v>
      </c>
      <c r="S157">
        <f>Source!Y99</f>
        <v>0</v>
      </c>
      <c r="T157">
        <f>Source!Y100</f>
        <v>0</v>
      </c>
      <c r="U157">
        <f>ROUND((175/100)*ROUND(Source!R99, 2), 2)</f>
        <v>0</v>
      </c>
      <c r="V157">
        <f>ROUND((157/100)*ROUND(Source!R100, 2), 2)</f>
        <v>0</v>
      </c>
    </row>
    <row r="158" spans="1:22" ht="14.25" x14ac:dyDescent="0.2">
      <c r="A158" s="27"/>
      <c r="B158" s="28"/>
      <c r="C158" s="28" t="s">
        <v>380</v>
      </c>
      <c r="D158" s="29" t="s">
        <v>381</v>
      </c>
      <c r="E158" s="12">
        <f>Source!DN98</f>
        <v>161</v>
      </c>
      <c r="F158" s="31"/>
      <c r="G158" s="30"/>
      <c r="H158" s="12"/>
      <c r="I158" s="32">
        <f>SUM(Q152:Q157)</f>
        <v>1773.58</v>
      </c>
      <c r="J158" s="12">
        <f>Source!BZ98</f>
        <v>131</v>
      </c>
      <c r="K158" s="32">
        <f>SUM(R152:R157)</f>
        <v>36265.01</v>
      </c>
    </row>
    <row r="159" spans="1:22" ht="14.25" x14ac:dyDescent="0.2">
      <c r="A159" s="27"/>
      <c r="B159" s="28"/>
      <c r="C159" s="28" t="s">
        <v>382</v>
      </c>
      <c r="D159" s="29" t="s">
        <v>381</v>
      </c>
      <c r="E159" s="12">
        <f>Source!DO98</f>
        <v>107</v>
      </c>
      <c r="F159" s="31"/>
      <c r="G159" s="30"/>
      <c r="H159" s="12"/>
      <c r="I159" s="32">
        <f>SUM(S152:S158)</f>
        <v>1178.71</v>
      </c>
      <c r="J159" s="12">
        <f>Source!CA98</f>
        <v>54</v>
      </c>
      <c r="K159" s="32">
        <f>SUM(T152:T158)</f>
        <v>14948.93</v>
      </c>
    </row>
    <row r="160" spans="1:22" ht="14.25" x14ac:dyDescent="0.2">
      <c r="A160" s="27"/>
      <c r="B160" s="28"/>
      <c r="C160" s="28" t="s">
        <v>383</v>
      </c>
      <c r="D160" s="29" t="s">
        <v>381</v>
      </c>
      <c r="E160" s="12">
        <f>175</f>
        <v>175</v>
      </c>
      <c r="F160" s="31"/>
      <c r="G160" s="30"/>
      <c r="H160" s="12"/>
      <c r="I160" s="32">
        <f>SUM(U152:U159)</f>
        <v>19.760000000000002</v>
      </c>
      <c r="J160" s="12">
        <f>157</f>
        <v>157</v>
      </c>
      <c r="K160" s="32">
        <f>SUM(V152:V159)</f>
        <v>445.44</v>
      </c>
    </row>
    <row r="161" spans="1:22" ht="14.25" x14ac:dyDescent="0.2">
      <c r="A161" s="34"/>
      <c r="B161" s="35"/>
      <c r="C161" s="35" t="s">
        <v>384</v>
      </c>
      <c r="D161" s="36" t="s">
        <v>385</v>
      </c>
      <c r="E161" s="37">
        <f>Source!AQ97</f>
        <v>100</v>
      </c>
      <c r="F161" s="38"/>
      <c r="G161" s="39" t="str">
        <f>Source!DI97</f>
        <v/>
      </c>
      <c r="H161" s="37">
        <f>Source!AV98</f>
        <v>1</v>
      </c>
      <c r="I161" s="40">
        <f>Source!U97</f>
        <v>102</v>
      </c>
      <c r="J161" s="37"/>
      <c r="K161" s="40"/>
    </row>
    <row r="162" spans="1:22" ht="15" x14ac:dyDescent="0.25">
      <c r="A162" s="41"/>
      <c r="B162" s="41"/>
      <c r="C162" s="42" t="s">
        <v>376</v>
      </c>
      <c r="D162" s="41"/>
      <c r="E162" s="41"/>
      <c r="F162" s="41"/>
      <c r="G162" s="41"/>
      <c r="H162" s="70">
        <f>I153+I154+I156+I158+I159+I160+SUM(I157:I157)</f>
        <v>121244.86</v>
      </c>
      <c r="I162" s="70"/>
      <c r="J162" s="70">
        <f>K153+K154+K156+K158+K159+K160+SUM(K157:K157)</f>
        <v>348419.04000000004</v>
      </c>
      <c r="K162" s="70"/>
      <c r="O162" s="33">
        <f>I153+I154+I156+I158+I159+I160+SUM(I157:I157)</f>
        <v>121244.86</v>
      </c>
      <c r="P162" s="33">
        <f>K153+K154+K156+K158+K159+K160+SUM(K157:K157)</f>
        <v>348419.04000000004</v>
      </c>
    </row>
    <row r="164" spans="1:22" ht="42.75" x14ac:dyDescent="0.2">
      <c r="A164" s="27" t="str">
        <f>Source!E101</f>
        <v>16</v>
      </c>
      <c r="B164" s="28" t="str">
        <f>Source!F101</f>
        <v>3.27-50-1</v>
      </c>
      <c r="C164" s="28" t="s">
        <v>166</v>
      </c>
      <c r="D164" s="29" t="str">
        <f>Source!H101</f>
        <v>100 м2</v>
      </c>
      <c r="E164" s="12">
        <f>Source!I101</f>
        <v>0.20399999999999999</v>
      </c>
      <c r="F164" s="31"/>
      <c r="G164" s="30"/>
      <c r="H164" s="12"/>
      <c r="I164" s="32"/>
      <c r="J164" s="12"/>
      <c r="K164" s="32"/>
      <c r="Q164">
        <f>Source!X101</f>
        <v>1355.77</v>
      </c>
      <c r="R164">
        <f>Source!X102</f>
        <v>26951.33</v>
      </c>
      <c r="S164">
        <f>Source!Y101</f>
        <v>839.77</v>
      </c>
      <c r="T164">
        <f>Source!Y102</f>
        <v>10424.57</v>
      </c>
      <c r="U164">
        <f>ROUND((175/100)*ROUND(Source!R101, 2), 2)</f>
        <v>12.64</v>
      </c>
      <c r="V164">
        <f>ROUND((157/100)*ROUND(Source!R102, 2), 2)</f>
        <v>284.86</v>
      </c>
    </row>
    <row r="165" spans="1:22" x14ac:dyDescent="0.2">
      <c r="C165" s="43" t="str">
        <f>"Объем: "&amp;Source!I101&amp;"=(102*"&amp;"0,1*"&amp;"2)/"&amp;"100"</f>
        <v>Объем: 0,204=(102*0,1*2)/100</v>
      </c>
    </row>
    <row r="166" spans="1:22" ht="14.25" x14ac:dyDescent="0.2">
      <c r="A166" s="27"/>
      <c r="B166" s="28"/>
      <c r="C166" s="28" t="s">
        <v>377</v>
      </c>
      <c r="D166" s="29"/>
      <c r="E166" s="12"/>
      <c r="F166" s="31">
        <f>Source!AO101</f>
        <v>4959.66</v>
      </c>
      <c r="G166" s="30" t="str">
        <f>Source!DG101</f>
        <v/>
      </c>
      <c r="H166" s="12">
        <f>Source!AV102</f>
        <v>1</v>
      </c>
      <c r="I166" s="32">
        <f>Source!S101</f>
        <v>1011.77</v>
      </c>
      <c r="J166" s="12">
        <f>IF(Source!BA102&lt;&gt; 0, Source!BA102, 1)</f>
        <v>25.13</v>
      </c>
      <c r="K166" s="32">
        <f>Source!S102</f>
        <v>25425.78</v>
      </c>
    </row>
    <row r="167" spans="1:22" ht="14.25" x14ac:dyDescent="0.2">
      <c r="A167" s="27"/>
      <c r="B167" s="28"/>
      <c r="C167" s="28" t="s">
        <v>378</v>
      </c>
      <c r="D167" s="29"/>
      <c r="E167" s="12"/>
      <c r="F167" s="31">
        <f>Source!AM101</f>
        <v>402.27</v>
      </c>
      <c r="G167" s="30" t="str">
        <f>Source!DE101</f>
        <v/>
      </c>
      <c r="H167" s="12">
        <f>Source!AV102</f>
        <v>1</v>
      </c>
      <c r="I167" s="32">
        <f>Source!Q101</f>
        <v>82.06</v>
      </c>
      <c r="J167" s="12">
        <f>IF(Source!BB102&lt;&gt; 0, Source!BB102, 1)</f>
        <v>8.42</v>
      </c>
      <c r="K167" s="32">
        <f>Source!Q102</f>
        <v>690.95</v>
      </c>
    </row>
    <row r="168" spans="1:22" ht="14.25" x14ac:dyDescent="0.2">
      <c r="A168" s="27"/>
      <c r="B168" s="28"/>
      <c r="C168" s="28" t="s">
        <v>379</v>
      </c>
      <c r="D168" s="29"/>
      <c r="E168" s="12"/>
      <c r="F168" s="31">
        <f>Source!AN101</f>
        <v>35.39</v>
      </c>
      <c r="G168" s="30" t="str">
        <f>Source!DF101</f>
        <v/>
      </c>
      <c r="H168" s="12">
        <f>Source!AV102</f>
        <v>1</v>
      </c>
      <c r="I168" s="44">
        <f>Source!R101</f>
        <v>7.22</v>
      </c>
      <c r="J168" s="12">
        <f>IF(Source!BS102&lt;&gt; 0, Source!BS102, 1)</f>
        <v>25.13</v>
      </c>
      <c r="K168" s="44">
        <f>Source!R102</f>
        <v>181.44</v>
      </c>
    </row>
    <row r="169" spans="1:22" ht="14.25" x14ac:dyDescent="0.2">
      <c r="A169" s="27"/>
      <c r="B169" s="28"/>
      <c r="C169" s="28" t="s">
        <v>386</v>
      </c>
      <c r="D169" s="29"/>
      <c r="E169" s="12"/>
      <c r="F169" s="31">
        <f>Source!AL101</f>
        <v>3</v>
      </c>
      <c r="G169" s="30" t="str">
        <f>Source!DD101</f>
        <v/>
      </c>
      <c r="H169" s="12">
        <f>Source!AW102</f>
        <v>1</v>
      </c>
      <c r="I169" s="32">
        <f>Source!P101</f>
        <v>0.61</v>
      </c>
      <c r="J169" s="12">
        <f>IF(Source!BC102&lt;&gt; 0, Source!BC102, 1)</f>
        <v>6.08</v>
      </c>
      <c r="K169" s="32">
        <f>Source!P102</f>
        <v>3.71</v>
      </c>
    </row>
    <row r="170" spans="1:22" ht="57" x14ac:dyDescent="0.2">
      <c r="A170" s="27" t="str">
        <f>Source!E103</f>
        <v>16,1</v>
      </c>
      <c r="B170" s="28" t="str">
        <f>Source!F103</f>
        <v>1.11-1-268</v>
      </c>
      <c r="C170" s="28" t="s">
        <v>173</v>
      </c>
      <c r="D170" s="29" t="str">
        <f>Source!H103</f>
        <v>м2</v>
      </c>
      <c r="E170" s="12">
        <f>Source!I103</f>
        <v>36.72</v>
      </c>
      <c r="F170" s="31">
        <f>Source!AK103</f>
        <v>2279.3200000000002</v>
      </c>
      <c r="G170" s="45" t="s">
        <v>389</v>
      </c>
      <c r="H170" s="12">
        <f>Source!AW104</f>
        <v>1</v>
      </c>
      <c r="I170" s="32">
        <f>Source!O103</f>
        <v>150653.93</v>
      </c>
      <c r="J170" s="12">
        <f>IF(Source!BC104&lt;&gt; 0, Source!BC104, 1)</f>
        <v>2.34</v>
      </c>
      <c r="K170" s="32">
        <f>Source!O104</f>
        <v>352530.2</v>
      </c>
      <c r="Q170">
        <f>Source!X103</f>
        <v>0</v>
      </c>
      <c r="R170">
        <f>Source!X104</f>
        <v>0</v>
      </c>
      <c r="S170">
        <f>Source!Y103</f>
        <v>0</v>
      </c>
      <c r="T170">
        <f>Source!Y104</f>
        <v>0</v>
      </c>
      <c r="U170">
        <f>ROUND((175/100)*ROUND(Source!R103, 2), 2)</f>
        <v>0</v>
      </c>
      <c r="V170">
        <f>ROUND((157/100)*ROUND(Source!R104, 2), 2)</f>
        <v>0</v>
      </c>
    </row>
    <row r="171" spans="1:22" ht="57" x14ac:dyDescent="0.2">
      <c r="A171" s="27" t="str">
        <f>Source!E105</f>
        <v>16,2</v>
      </c>
      <c r="B171" s="28" t="str">
        <f>Source!F105</f>
        <v>1.3-2-19</v>
      </c>
      <c r="C171" s="28" t="s">
        <v>178</v>
      </c>
      <c r="D171" s="29" t="str">
        <f>Source!H105</f>
        <v>т</v>
      </c>
      <c r="E171" s="12">
        <f>Source!I105</f>
        <v>2.04</v>
      </c>
      <c r="F171" s="31">
        <f>Source!AK105</f>
        <v>470.47</v>
      </c>
      <c r="G171" s="45" t="s">
        <v>3</v>
      </c>
      <c r="H171" s="12">
        <f>Source!AW106</f>
        <v>1</v>
      </c>
      <c r="I171" s="32">
        <f>Source!O105</f>
        <v>959.76</v>
      </c>
      <c r="J171" s="12">
        <f>IF(Source!BC106&lt;&gt; 0, Source!BC106, 1)</f>
        <v>7.92</v>
      </c>
      <c r="K171" s="32">
        <f>Source!O106</f>
        <v>7601.3</v>
      </c>
      <c r="Q171">
        <f>Source!X105</f>
        <v>0</v>
      </c>
      <c r="R171">
        <f>Source!X106</f>
        <v>0</v>
      </c>
      <c r="S171">
        <f>Source!Y105</f>
        <v>0</v>
      </c>
      <c r="T171">
        <f>Source!Y106</f>
        <v>0</v>
      </c>
      <c r="U171">
        <f>ROUND((175/100)*ROUND(Source!R105, 2), 2)</f>
        <v>0</v>
      </c>
      <c r="V171">
        <f>ROUND((157/100)*ROUND(Source!R106, 2), 2)</f>
        <v>0</v>
      </c>
    </row>
    <row r="172" spans="1:22" ht="14.25" x14ac:dyDescent="0.2">
      <c r="A172" s="27"/>
      <c r="B172" s="28"/>
      <c r="C172" s="28" t="s">
        <v>380</v>
      </c>
      <c r="D172" s="29" t="s">
        <v>381</v>
      </c>
      <c r="E172" s="12">
        <f>Source!DN102</f>
        <v>134</v>
      </c>
      <c r="F172" s="31"/>
      <c r="G172" s="30"/>
      <c r="H172" s="12"/>
      <c r="I172" s="32">
        <f>SUM(Q164:Q171)</f>
        <v>1355.77</v>
      </c>
      <c r="J172" s="12">
        <f>Source!BZ102</f>
        <v>106</v>
      </c>
      <c r="K172" s="32">
        <f>SUM(R164:R171)</f>
        <v>26951.33</v>
      </c>
    </row>
    <row r="173" spans="1:22" ht="14.25" x14ac:dyDescent="0.2">
      <c r="A173" s="27"/>
      <c r="B173" s="28"/>
      <c r="C173" s="28" t="s">
        <v>382</v>
      </c>
      <c r="D173" s="29" t="s">
        <v>381</v>
      </c>
      <c r="E173" s="12">
        <f>Source!DO102</f>
        <v>83</v>
      </c>
      <c r="F173" s="31"/>
      <c r="G173" s="30"/>
      <c r="H173" s="12"/>
      <c r="I173" s="32">
        <f>SUM(S164:S172)</f>
        <v>839.77</v>
      </c>
      <c r="J173" s="12">
        <f>Source!CA102</f>
        <v>41</v>
      </c>
      <c r="K173" s="32">
        <f>SUM(T164:T172)</f>
        <v>10424.57</v>
      </c>
    </row>
    <row r="174" spans="1:22" ht="14.25" x14ac:dyDescent="0.2">
      <c r="A174" s="27"/>
      <c r="B174" s="28"/>
      <c r="C174" s="28" t="s">
        <v>383</v>
      </c>
      <c r="D174" s="29" t="s">
        <v>381</v>
      </c>
      <c r="E174" s="12">
        <f>175</f>
        <v>175</v>
      </c>
      <c r="F174" s="31"/>
      <c r="G174" s="30"/>
      <c r="H174" s="12"/>
      <c r="I174" s="32">
        <f>SUM(U164:U173)</f>
        <v>12.64</v>
      </c>
      <c r="J174" s="12">
        <f>157</f>
        <v>157</v>
      </c>
      <c r="K174" s="32">
        <f>SUM(V164:V173)</f>
        <v>284.86</v>
      </c>
    </row>
    <row r="175" spans="1:22" ht="14.25" x14ac:dyDescent="0.2">
      <c r="A175" s="34"/>
      <c r="B175" s="35"/>
      <c r="C175" s="35" t="s">
        <v>384</v>
      </c>
      <c r="D175" s="36" t="s">
        <v>385</v>
      </c>
      <c r="E175" s="37">
        <f>Source!AQ101</f>
        <v>393</v>
      </c>
      <c r="F175" s="38"/>
      <c r="G175" s="39" t="str">
        <f>Source!DI101</f>
        <v/>
      </c>
      <c r="H175" s="37">
        <f>Source!AV102</f>
        <v>1</v>
      </c>
      <c r="I175" s="40">
        <f>Source!U101</f>
        <v>80.171999999999997</v>
      </c>
      <c r="J175" s="37"/>
      <c r="K175" s="40"/>
    </row>
    <row r="176" spans="1:22" ht="15" x14ac:dyDescent="0.25">
      <c r="A176" s="41"/>
      <c r="B176" s="41"/>
      <c r="C176" s="42" t="s">
        <v>376</v>
      </c>
      <c r="D176" s="41"/>
      <c r="E176" s="41"/>
      <c r="F176" s="41"/>
      <c r="G176" s="41"/>
      <c r="H176" s="70">
        <f>I166+I167+I169+I172+I173+I174+SUM(I170:I171)</f>
        <v>154916.31</v>
      </c>
      <c r="I176" s="70"/>
      <c r="J176" s="70">
        <f>K166+K167+K169+K172+K173+K174+SUM(K170:K171)</f>
        <v>423912.7</v>
      </c>
      <c r="K176" s="70"/>
      <c r="O176" s="33">
        <f>I166+I167+I169+I172+I173+I174+SUM(I170:I171)</f>
        <v>154916.31</v>
      </c>
      <c r="P176" s="33">
        <f>K166+K167+K169+K172+K173+K174+SUM(K170:K171)</f>
        <v>423912.7</v>
      </c>
    </row>
    <row r="178" spans="1:22" ht="42.75" x14ac:dyDescent="0.2">
      <c r="A178" s="27" t="str">
        <f>Source!E107</f>
        <v>17</v>
      </c>
      <c r="B178" s="28" t="str">
        <f>Source!F107</f>
        <v>3.27-51-1</v>
      </c>
      <c r="C178" s="28" t="s">
        <v>182</v>
      </c>
      <c r="D178" s="29" t="str">
        <f>Source!H107</f>
        <v>100 м</v>
      </c>
      <c r="E178" s="12">
        <f>Source!I107</f>
        <v>1.2239999999999999E-2</v>
      </c>
      <c r="F178" s="31"/>
      <c r="G178" s="30"/>
      <c r="H178" s="12"/>
      <c r="I178" s="32"/>
      <c r="J178" s="12"/>
      <c r="K178" s="32"/>
      <c r="Q178">
        <f>Source!X107</f>
        <v>7.44</v>
      </c>
      <c r="R178">
        <f>Source!X108</f>
        <v>147.84</v>
      </c>
      <c r="S178">
        <f>Source!Y107</f>
        <v>4.6100000000000003</v>
      </c>
      <c r="T178">
        <f>Source!Y108</f>
        <v>57.18</v>
      </c>
      <c r="U178">
        <f>ROUND((175/100)*ROUND(Source!R107, 2), 2)</f>
        <v>8.0299999999999994</v>
      </c>
      <c r="V178">
        <f>ROUND((157/100)*ROUND(Source!R108, 2), 2)</f>
        <v>181.1</v>
      </c>
    </row>
    <row r="179" spans="1:22" x14ac:dyDescent="0.2">
      <c r="C179" s="43" t="str">
        <f>"Объем: "&amp;Source!I107&amp;"=("&amp;Source!I101&amp;")*"&amp;"0,06"</f>
        <v>Объем: 0,01224=(0,204)*0,06</v>
      </c>
    </row>
    <row r="180" spans="1:22" ht="14.25" x14ac:dyDescent="0.2">
      <c r="A180" s="27"/>
      <c r="B180" s="28"/>
      <c r="C180" s="28" t="s">
        <v>377</v>
      </c>
      <c r="D180" s="29"/>
      <c r="E180" s="12"/>
      <c r="F180" s="31">
        <f>Source!AO107</f>
        <v>453.03</v>
      </c>
      <c r="G180" s="30" t="str">
        <f>Source!DG107</f>
        <v/>
      </c>
      <c r="H180" s="12">
        <f>Source!AV108</f>
        <v>1</v>
      </c>
      <c r="I180" s="32">
        <f>Source!S107</f>
        <v>5.55</v>
      </c>
      <c r="J180" s="12">
        <f>IF(Source!BA108&lt;&gt; 0, Source!BA108, 1)</f>
        <v>25.13</v>
      </c>
      <c r="K180" s="32">
        <f>Source!S108</f>
        <v>139.47</v>
      </c>
    </row>
    <row r="181" spans="1:22" ht="14.25" x14ac:dyDescent="0.2">
      <c r="A181" s="27"/>
      <c r="B181" s="28"/>
      <c r="C181" s="28" t="s">
        <v>378</v>
      </c>
      <c r="D181" s="29"/>
      <c r="E181" s="12"/>
      <c r="F181" s="31">
        <f>Source!AM107</f>
        <v>802.62</v>
      </c>
      <c r="G181" s="30" t="str">
        <f>Source!DE107</f>
        <v/>
      </c>
      <c r="H181" s="12">
        <f>Source!AV108</f>
        <v>1</v>
      </c>
      <c r="I181" s="32">
        <f>Source!Q107</f>
        <v>9.82</v>
      </c>
      <c r="J181" s="12">
        <f>IF(Source!BB108&lt;&gt; 0, Source!BB108, 1)</f>
        <v>15.87</v>
      </c>
      <c r="K181" s="32">
        <f>Source!Q108</f>
        <v>155.84</v>
      </c>
    </row>
    <row r="182" spans="1:22" ht="14.25" x14ac:dyDescent="0.2">
      <c r="A182" s="27"/>
      <c r="B182" s="28"/>
      <c r="C182" s="28" t="s">
        <v>379</v>
      </c>
      <c r="D182" s="29"/>
      <c r="E182" s="12"/>
      <c r="F182" s="31">
        <f>Source!AN107</f>
        <v>375.23</v>
      </c>
      <c r="G182" s="30" t="str">
        <f>Source!DF107</f>
        <v/>
      </c>
      <c r="H182" s="12">
        <f>Source!AV108</f>
        <v>1</v>
      </c>
      <c r="I182" s="44">
        <f>Source!R107</f>
        <v>4.59</v>
      </c>
      <c r="J182" s="12">
        <f>IF(Source!BS108&lt;&gt; 0, Source!BS108, 1)</f>
        <v>25.13</v>
      </c>
      <c r="K182" s="44">
        <f>Source!R108</f>
        <v>115.35</v>
      </c>
    </row>
    <row r="183" spans="1:22" ht="14.25" x14ac:dyDescent="0.2">
      <c r="A183" s="27"/>
      <c r="B183" s="28"/>
      <c r="C183" s="28" t="s">
        <v>386</v>
      </c>
      <c r="D183" s="29"/>
      <c r="E183" s="12"/>
      <c r="F183" s="31">
        <f>Source!AL107</f>
        <v>20.12</v>
      </c>
      <c r="G183" s="30" t="str">
        <f>Source!DD107</f>
        <v/>
      </c>
      <c r="H183" s="12">
        <f>Source!AW108</f>
        <v>1</v>
      </c>
      <c r="I183" s="32">
        <f>Source!P107</f>
        <v>0.25</v>
      </c>
      <c r="J183" s="12">
        <f>IF(Source!BC108&lt;&gt; 0, Source!BC108, 1)</f>
        <v>5.97</v>
      </c>
      <c r="K183" s="32">
        <f>Source!P108</f>
        <v>1.49</v>
      </c>
    </row>
    <row r="184" spans="1:22" ht="28.5" x14ac:dyDescent="0.2">
      <c r="A184" s="27" t="str">
        <f>Source!E109</f>
        <v>17,1</v>
      </c>
      <c r="B184" s="28" t="str">
        <f>Source!F109</f>
        <v>1.7-3-75</v>
      </c>
      <c r="C184" s="28" t="s">
        <v>186</v>
      </c>
      <c r="D184" s="29" t="str">
        <f>Source!H109</f>
        <v>шт.</v>
      </c>
      <c r="E184" s="12">
        <f>Source!I109</f>
        <v>8.201E-3</v>
      </c>
      <c r="F184" s="31">
        <f>Source!AK109</f>
        <v>437.82</v>
      </c>
      <c r="G184" s="45" t="s">
        <v>3</v>
      </c>
      <c r="H184" s="12">
        <f>Source!AW110</f>
        <v>1</v>
      </c>
      <c r="I184" s="32">
        <f>Source!O109</f>
        <v>3.59</v>
      </c>
      <c r="J184" s="12">
        <f>IF(Source!BC110&lt;&gt; 0, Source!BC110, 1)</f>
        <v>1.81</v>
      </c>
      <c r="K184" s="32">
        <f>Source!O110</f>
        <v>6.5</v>
      </c>
      <c r="Q184">
        <f>Source!X109</f>
        <v>0</v>
      </c>
      <c r="R184">
        <f>Source!X110</f>
        <v>0</v>
      </c>
      <c r="S184">
        <f>Source!Y109</f>
        <v>0</v>
      </c>
      <c r="T184">
        <f>Source!Y110</f>
        <v>0</v>
      </c>
      <c r="U184">
        <f>ROUND((175/100)*ROUND(Source!R109, 2), 2)</f>
        <v>0</v>
      </c>
      <c r="V184">
        <f>ROUND((157/100)*ROUND(Source!R110, 2), 2)</f>
        <v>0</v>
      </c>
    </row>
    <row r="185" spans="1:22" ht="14.25" x14ac:dyDescent="0.2">
      <c r="A185" s="27"/>
      <c r="B185" s="28"/>
      <c r="C185" s="28" t="s">
        <v>380</v>
      </c>
      <c r="D185" s="29" t="s">
        <v>381</v>
      </c>
      <c r="E185" s="12">
        <f>Source!DN108</f>
        <v>134</v>
      </c>
      <c r="F185" s="31"/>
      <c r="G185" s="30"/>
      <c r="H185" s="12"/>
      <c r="I185" s="32">
        <f>SUM(Q178:Q184)</f>
        <v>7.44</v>
      </c>
      <c r="J185" s="12">
        <f>Source!BZ108</f>
        <v>106</v>
      </c>
      <c r="K185" s="32">
        <f>SUM(R178:R184)</f>
        <v>147.84</v>
      </c>
    </row>
    <row r="186" spans="1:22" ht="14.25" x14ac:dyDescent="0.2">
      <c r="A186" s="27"/>
      <c r="B186" s="28"/>
      <c r="C186" s="28" t="s">
        <v>382</v>
      </c>
      <c r="D186" s="29" t="s">
        <v>381</v>
      </c>
      <c r="E186" s="12">
        <f>Source!DO108</f>
        <v>83</v>
      </c>
      <c r="F186" s="31"/>
      <c r="G186" s="30"/>
      <c r="H186" s="12"/>
      <c r="I186" s="32">
        <f>SUM(S178:S185)</f>
        <v>4.6100000000000003</v>
      </c>
      <c r="J186" s="12">
        <f>Source!CA108</f>
        <v>41</v>
      </c>
      <c r="K186" s="32">
        <f>SUM(T178:T185)</f>
        <v>57.18</v>
      </c>
    </row>
    <row r="187" spans="1:22" ht="14.25" x14ac:dyDescent="0.2">
      <c r="A187" s="27"/>
      <c r="B187" s="28"/>
      <c r="C187" s="28" t="s">
        <v>383</v>
      </c>
      <c r="D187" s="29" t="s">
        <v>381</v>
      </c>
      <c r="E187" s="12">
        <f>175</f>
        <v>175</v>
      </c>
      <c r="F187" s="31"/>
      <c r="G187" s="30"/>
      <c r="H187" s="12"/>
      <c r="I187" s="32">
        <f>SUM(U178:U186)</f>
        <v>8.0299999999999994</v>
      </c>
      <c r="J187" s="12">
        <f>157</f>
        <v>157</v>
      </c>
      <c r="K187" s="32">
        <f>SUM(V178:V186)</f>
        <v>181.1</v>
      </c>
    </row>
    <row r="188" spans="1:22" ht="14.25" x14ac:dyDescent="0.2">
      <c r="A188" s="34"/>
      <c r="B188" s="35"/>
      <c r="C188" s="35" t="s">
        <v>384</v>
      </c>
      <c r="D188" s="36" t="s">
        <v>385</v>
      </c>
      <c r="E188" s="37">
        <f>Source!AQ107</f>
        <v>32.9</v>
      </c>
      <c r="F188" s="38"/>
      <c r="G188" s="39" t="str">
        <f>Source!DI107</f>
        <v/>
      </c>
      <c r="H188" s="37">
        <f>Source!AV108</f>
        <v>1</v>
      </c>
      <c r="I188" s="40">
        <f>Source!U107</f>
        <v>0.40269599999999994</v>
      </c>
      <c r="J188" s="37"/>
      <c r="K188" s="40"/>
    </row>
    <row r="189" spans="1:22" ht="15" x14ac:dyDescent="0.25">
      <c r="A189" s="41"/>
      <c r="B189" s="41"/>
      <c r="C189" s="42" t="s">
        <v>376</v>
      </c>
      <c r="D189" s="41"/>
      <c r="E189" s="41"/>
      <c r="F189" s="41"/>
      <c r="G189" s="41"/>
      <c r="H189" s="70">
        <f>I180+I181+I183+I185+I186+I187+SUM(I184:I184)</f>
        <v>39.290000000000006</v>
      </c>
      <c r="I189" s="70"/>
      <c r="J189" s="70">
        <f>K180+K181+K183+K185+K186+K187+SUM(K184:K184)</f>
        <v>689.42</v>
      </c>
      <c r="K189" s="70"/>
      <c r="O189" s="33">
        <f>I180+I181+I183+I185+I186+I187+SUM(I184:I184)</f>
        <v>39.290000000000006</v>
      </c>
      <c r="P189" s="33">
        <f>K180+K181+K183+K185+K186+K187+SUM(K184:K184)</f>
        <v>689.42</v>
      </c>
    </row>
    <row r="192" spans="1:22" ht="15" x14ac:dyDescent="0.25">
      <c r="A192" s="67" t="str">
        <f>CONCATENATE("Итого по разделу: ",IF(Source!G112&lt;&gt;"Новый раздел", Source!G112, ""))</f>
        <v>Итого по разделу: Замена бортового гранитного камня</v>
      </c>
      <c r="B192" s="67"/>
      <c r="C192" s="67"/>
      <c r="D192" s="67"/>
      <c r="E192" s="67"/>
      <c r="F192" s="67"/>
      <c r="G192" s="67"/>
      <c r="H192" s="68">
        <f>SUM(O106:O191)</f>
        <v>281268.83999999997</v>
      </c>
      <c r="I192" s="69"/>
      <c r="J192" s="68">
        <f>SUM(P106:P191)</f>
        <v>847460.08000000019</v>
      </c>
      <c r="K192" s="69"/>
    </row>
    <row r="193" spans="1:22" hidden="1" x14ac:dyDescent="0.2">
      <c r="A193" t="s">
        <v>387</v>
      </c>
      <c r="I193">
        <f>SUM(W106:W192)</f>
        <v>0</v>
      </c>
      <c r="J193">
        <f>SUM(X106:X192)</f>
        <v>0</v>
      </c>
    </row>
    <row r="194" spans="1:22" hidden="1" x14ac:dyDescent="0.2">
      <c r="A194" t="s">
        <v>388</v>
      </c>
      <c r="I194">
        <f>SUM(Y106:Y193)</f>
        <v>0</v>
      </c>
      <c r="J194">
        <f>SUM(Z106:Z193)</f>
        <v>0</v>
      </c>
    </row>
    <row r="196" spans="1:22" ht="16.5" x14ac:dyDescent="0.25">
      <c r="A196" s="71" t="str">
        <f>CONCATENATE("Раздел: ",IF(Source!G142&lt;&gt;"Новый раздел", Source!G142, ""))</f>
        <v>Раздел: Устройство газона 15 см</v>
      </c>
      <c r="B196" s="71"/>
      <c r="C196" s="71"/>
      <c r="D196" s="71"/>
      <c r="E196" s="71"/>
      <c r="F196" s="71"/>
      <c r="G196" s="71"/>
      <c r="H196" s="71"/>
      <c r="I196" s="71"/>
      <c r="J196" s="71"/>
      <c r="K196" s="71"/>
    </row>
    <row r="197" spans="1:22" ht="14.25" x14ac:dyDescent="0.2">
      <c r="A197" s="34" t="str">
        <f>Source!E146</f>
        <v>18</v>
      </c>
      <c r="B197" s="35" t="str">
        <f>Source!F146</f>
        <v>СВОР</v>
      </c>
      <c r="C197" s="35" t="s">
        <v>192</v>
      </c>
      <c r="D197" s="36" t="str">
        <f>Source!H146</f>
        <v>м2</v>
      </c>
      <c r="E197" s="37">
        <f>Source!I146</f>
        <v>192</v>
      </c>
      <c r="F197" s="38"/>
      <c r="G197" s="39"/>
      <c r="H197" s="37"/>
      <c r="I197" s="40"/>
      <c r="J197" s="37"/>
      <c r="K197" s="40"/>
      <c r="Q197">
        <f>Source!X146</f>
        <v>0</v>
      </c>
      <c r="R197">
        <f>Source!X147</f>
        <v>0</v>
      </c>
      <c r="S197">
        <f>Source!Y146</f>
        <v>0</v>
      </c>
      <c r="T197">
        <f>Source!Y147</f>
        <v>0</v>
      </c>
      <c r="U197">
        <f>ROUND((175/100)*ROUND(Source!R146, 2), 2)</f>
        <v>0</v>
      </c>
      <c r="V197">
        <f>ROUND((157/100)*ROUND(Source!R147, 2), 2)</f>
        <v>0</v>
      </c>
    </row>
    <row r="198" spans="1:22" ht="15" x14ac:dyDescent="0.25">
      <c r="A198" s="41"/>
      <c r="B198" s="41"/>
      <c r="C198" s="42" t="s">
        <v>376</v>
      </c>
      <c r="D198" s="41"/>
      <c r="E198" s="41"/>
      <c r="F198" s="41"/>
      <c r="G198" s="41"/>
      <c r="H198" s="70">
        <f>I197</f>
        <v>0</v>
      </c>
      <c r="I198" s="70"/>
      <c r="J198" s="70">
        <f>K197</f>
        <v>0</v>
      </c>
      <c r="K198" s="70"/>
      <c r="O198" s="33">
        <f>I197</f>
        <v>0</v>
      </c>
      <c r="P198" s="33">
        <f>K197</f>
        <v>0</v>
      </c>
    </row>
    <row r="200" spans="1:22" ht="57" x14ac:dyDescent="0.2">
      <c r="A200" s="27" t="str">
        <f>Source!E148</f>
        <v>19</v>
      </c>
      <c r="B200" s="28" t="str">
        <f>Source!F148</f>
        <v>3.1-6-10</v>
      </c>
      <c r="C200" s="28" t="s">
        <v>197</v>
      </c>
      <c r="D200" s="29" t="str">
        <f>Source!H148</f>
        <v>100 м3 грунта</v>
      </c>
      <c r="E200" s="12">
        <f>Source!I148</f>
        <v>0.27360000000000001</v>
      </c>
      <c r="F200" s="31"/>
      <c r="G200" s="30"/>
      <c r="H200" s="12"/>
      <c r="I200" s="32"/>
      <c r="J200" s="12"/>
      <c r="K200" s="32"/>
      <c r="Q200">
        <f>Source!X148</f>
        <v>3.78</v>
      </c>
      <c r="R200">
        <f>Source!X149</f>
        <v>89.24</v>
      </c>
      <c r="S200">
        <f>Source!Y148</f>
        <v>2.97</v>
      </c>
      <c r="T200">
        <f>Source!Y149</f>
        <v>48.5</v>
      </c>
      <c r="U200">
        <f>ROUND((175/100)*ROUND(Source!R148, 2), 2)</f>
        <v>63.05</v>
      </c>
      <c r="V200">
        <f>ROUND((157/100)*ROUND(Source!R149, 2), 2)</f>
        <v>1421.53</v>
      </c>
    </row>
    <row r="201" spans="1:22" x14ac:dyDescent="0.2">
      <c r="C201" s="43" t="str">
        <f>"Объем: "&amp;Source!I148&amp;"=(192*"&amp;"0,15*"&amp;"0,95)/"&amp;"100"</f>
        <v>Объем: 0,2736=(192*0,15*0,95)/100</v>
      </c>
    </row>
    <row r="202" spans="1:22" ht="14.25" x14ac:dyDescent="0.2">
      <c r="A202" s="27"/>
      <c r="B202" s="28"/>
      <c r="C202" s="28" t="s">
        <v>377</v>
      </c>
      <c r="D202" s="29"/>
      <c r="E202" s="12"/>
      <c r="F202" s="31">
        <f>Source!AO148</f>
        <v>14.1</v>
      </c>
      <c r="G202" s="30" t="str">
        <f>Source!DG148</f>
        <v/>
      </c>
      <c r="H202" s="12">
        <f>Source!AV149</f>
        <v>1</v>
      </c>
      <c r="I202" s="32">
        <f>Source!S148</f>
        <v>3.86</v>
      </c>
      <c r="J202" s="12">
        <f>IF(Source!BA149&lt;&gt; 0, Source!BA149, 1)</f>
        <v>25.13</v>
      </c>
      <c r="K202" s="32">
        <f>Source!S149</f>
        <v>97</v>
      </c>
    </row>
    <row r="203" spans="1:22" ht="14.25" x14ac:dyDescent="0.2">
      <c r="A203" s="27"/>
      <c r="B203" s="28"/>
      <c r="C203" s="28" t="s">
        <v>378</v>
      </c>
      <c r="D203" s="29"/>
      <c r="E203" s="12"/>
      <c r="F203" s="31">
        <f>Source!AM148</f>
        <v>808.58</v>
      </c>
      <c r="G203" s="30" t="str">
        <f>Source!DE148</f>
        <v/>
      </c>
      <c r="H203" s="12">
        <f>Source!AV149</f>
        <v>1</v>
      </c>
      <c r="I203" s="32">
        <f>Source!Q148</f>
        <v>221.23</v>
      </c>
      <c r="J203" s="12">
        <f>IF(Source!BB149&lt;&gt; 0, Source!BB149, 1)</f>
        <v>9.8699999999999992</v>
      </c>
      <c r="K203" s="32">
        <f>Source!Q149</f>
        <v>2183.54</v>
      </c>
    </row>
    <row r="204" spans="1:22" ht="14.25" x14ac:dyDescent="0.2">
      <c r="A204" s="27"/>
      <c r="B204" s="28"/>
      <c r="C204" s="28" t="s">
        <v>379</v>
      </c>
      <c r="D204" s="29"/>
      <c r="E204" s="12"/>
      <c r="F204" s="31">
        <f>Source!AN148</f>
        <v>131.69</v>
      </c>
      <c r="G204" s="30" t="str">
        <f>Source!DF148</f>
        <v/>
      </c>
      <c r="H204" s="12">
        <f>Source!AV149</f>
        <v>1</v>
      </c>
      <c r="I204" s="44">
        <f>Source!R148</f>
        <v>36.03</v>
      </c>
      <c r="J204" s="12">
        <f>IF(Source!BS149&lt;&gt; 0, Source!BS149, 1)</f>
        <v>25.13</v>
      </c>
      <c r="K204" s="44">
        <f>Source!R149</f>
        <v>905.43</v>
      </c>
    </row>
    <row r="205" spans="1:22" ht="14.25" x14ac:dyDescent="0.2">
      <c r="A205" s="27"/>
      <c r="B205" s="28"/>
      <c r="C205" s="28" t="s">
        <v>380</v>
      </c>
      <c r="D205" s="29" t="s">
        <v>381</v>
      </c>
      <c r="E205" s="12">
        <f>Source!DN149</f>
        <v>98</v>
      </c>
      <c r="F205" s="31"/>
      <c r="G205" s="30"/>
      <c r="H205" s="12"/>
      <c r="I205" s="32">
        <f>SUM(Q200:Q204)</f>
        <v>3.78</v>
      </c>
      <c r="J205" s="12">
        <f>Source!BZ149</f>
        <v>92</v>
      </c>
      <c r="K205" s="32">
        <f>SUM(R200:R204)</f>
        <v>89.24</v>
      </c>
    </row>
    <row r="206" spans="1:22" ht="14.25" x14ac:dyDescent="0.2">
      <c r="A206" s="27"/>
      <c r="B206" s="28"/>
      <c r="C206" s="28" t="s">
        <v>382</v>
      </c>
      <c r="D206" s="29" t="s">
        <v>381</v>
      </c>
      <c r="E206" s="12">
        <f>Source!DO149</f>
        <v>77</v>
      </c>
      <c r="F206" s="31"/>
      <c r="G206" s="30"/>
      <c r="H206" s="12"/>
      <c r="I206" s="32">
        <f>SUM(S200:S205)</f>
        <v>2.97</v>
      </c>
      <c r="J206" s="12">
        <f>Source!CA149</f>
        <v>50</v>
      </c>
      <c r="K206" s="32">
        <f>SUM(T200:T205)</f>
        <v>48.5</v>
      </c>
    </row>
    <row r="207" spans="1:22" ht="14.25" x14ac:dyDescent="0.2">
      <c r="A207" s="27"/>
      <c r="B207" s="28"/>
      <c r="C207" s="28" t="s">
        <v>383</v>
      </c>
      <c r="D207" s="29" t="s">
        <v>381</v>
      </c>
      <c r="E207" s="12">
        <f>175</f>
        <v>175</v>
      </c>
      <c r="F207" s="31"/>
      <c r="G207" s="30"/>
      <c r="H207" s="12"/>
      <c r="I207" s="32">
        <f>SUM(U200:U206)</f>
        <v>63.05</v>
      </c>
      <c r="J207" s="12">
        <f>157</f>
        <v>157</v>
      </c>
      <c r="K207" s="32">
        <f>SUM(V200:V206)</f>
        <v>1421.53</v>
      </c>
    </row>
    <row r="208" spans="1:22" ht="14.25" x14ac:dyDescent="0.2">
      <c r="A208" s="34"/>
      <c r="B208" s="35"/>
      <c r="C208" s="35" t="s">
        <v>384</v>
      </c>
      <c r="D208" s="36" t="s">
        <v>385</v>
      </c>
      <c r="E208" s="37">
        <f>Source!AQ148</f>
        <v>1.38</v>
      </c>
      <c r="F208" s="38"/>
      <c r="G208" s="39" t="str">
        <f>Source!DI148</f>
        <v/>
      </c>
      <c r="H208" s="37">
        <f>Source!AV149</f>
        <v>1</v>
      </c>
      <c r="I208" s="40">
        <f>Source!U148</f>
        <v>0.37756799999999996</v>
      </c>
      <c r="J208" s="37"/>
      <c r="K208" s="40"/>
    </row>
    <row r="209" spans="1:22" ht="15" x14ac:dyDescent="0.25">
      <c r="A209" s="41"/>
      <c r="B209" s="41"/>
      <c r="C209" s="42" t="s">
        <v>376</v>
      </c>
      <c r="D209" s="41"/>
      <c r="E209" s="41"/>
      <c r="F209" s="41"/>
      <c r="G209" s="41"/>
      <c r="H209" s="70">
        <f>I202+I203+I205+I206+I207</f>
        <v>294.89</v>
      </c>
      <c r="I209" s="70"/>
      <c r="J209" s="70">
        <f>K202+K203+K205+K206+K207</f>
        <v>3839.8099999999995</v>
      </c>
      <c r="K209" s="70"/>
      <c r="O209" s="33">
        <f>I202+I203+I205+I206+I207</f>
        <v>294.89</v>
      </c>
      <c r="P209" s="33">
        <f>K202+K203+K205+K206+K207</f>
        <v>3839.8099999999995</v>
      </c>
    </row>
    <row r="211" spans="1:22" ht="42.75" x14ac:dyDescent="0.2">
      <c r="A211" s="27" t="str">
        <f>Source!E150</f>
        <v>20</v>
      </c>
      <c r="B211" s="28" t="str">
        <f>Source!F150</f>
        <v>3.1-51-1</v>
      </c>
      <c r="C211" s="28" t="s">
        <v>204</v>
      </c>
      <c r="D211" s="29" t="str">
        <f>Source!H150</f>
        <v>100 м3 грунта</v>
      </c>
      <c r="E211" s="12">
        <f>Source!I150</f>
        <v>1.44E-2</v>
      </c>
      <c r="F211" s="31"/>
      <c r="G211" s="30"/>
      <c r="H211" s="12"/>
      <c r="I211" s="32"/>
      <c r="J211" s="12"/>
      <c r="K211" s="32"/>
      <c r="Q211">
        <f>Source!X150</f>
        <v>30.88</v>
      </c>
      <c r="R211">
        <f>Source!X151</f>
        <v>628.21</v>
      </c>
      <c r="S211">
        <f>Source!Y150</f>
        <v>22.65</v>
      </c>
      <c r="T211">
        <f>Source!Y151</f>
        <v>303.02</v>
      </c>
      <c r="U211">
        <f>ROUND((175/100)*ROUND(Source!R150, 2), 2)</f>
        <v>0</v>
      </c>
      <c r="V211">
        <f>ROUND((157/100)*ROUND(Source!R151, 2), 2)</f>
        <v>0</v>
      </c>
    </row>
    <row r="212" spans="1:22" x14ac:dyDescent="0.2">
      <c r="C212" s="43" t="str">
        <f>"Объем: "&amp;Source!I150&amp;"=(192*"&amp;"0,15*"&amp;"0,05)/"&amp;"100"</f>
        <v>Объем: 0,0144=(192*0,15*0,05)/100</v>
      </c>
    </row>
    <row r="213" spans="1:22" ht="14.25" x14ac:dyDescent="0.2">
      <c r="A213" s="27"/>
      <c r="B213" s="28"/>
      <c r="C213" s="28" t="s">
        <v>377</v>
      </c>
      <c r="D213" s="29"/>
      <c r="E213" s="12"/>
      <c r="F213" s="31">
        <f>Source!AO150</f>
        <v>2042.62</v>
      </c>
      <c r="G213" s="30" t="str">
        <f>Source!DG150</f>
        <v/>
      </c>
      <c r="H213" s="12">
        <f>Source!AV151</f>
        <v>1</v>
      </c>
      <c r="I213" s="32">
        <f>Source!S150</f>
        <v>29.41</v>
      </c>
      <c r="J213" s="12">
        <f>IF(Source!BA151&lt;&gt; 0, Source!BA151, 1)</f>
        <v>25.13</v>
      </c>
      <c r="K213" s="32">
        <f>Source!S151</f>
        <v>739.07</v>
      </c>
    </row>
    <row r="214" spans="1:22" ht="14.25" x14ac:dyDescent="0.2">
      <c r="A214" s="27"/>
      <c r="B214" s="28"/>
      <c r="C214" s="28" t="s">
        <v>380</v>
      </c>
      <c r="D214" s="29" t="s">
        <v>381</v>
      </c>
      <c r="E214" s="12">
        <f>Source!DN151</f>
        <v>105</v>
      </c>
      <c r="F214" s="31"/>
      <c r="G214" s="30"/>
      <c r="H214" s="12"/>
      <c r="I214" s="32">
        <f>SUM(Q211:Q213)</f>
        <v>30.88</v>
      </c>
      <c r="J214" s="12">
        <f>Source!BZ151</f>
        <v>85</v>
      </c>
      <c r="K214" s="32">
        <f>SUM(R211:R213)</f>
        <v>628.21</v>
      </c>
    </row>
    <row r="215" spans="1:22" ht="14.25" x14ac:dyDescent="0.2">
      <c r="A215" s="27"/>
      <c r="B215" s="28"/>
      <c r="C215" s="28" t="s">
        <v>382</v>
      </c>
      <c r="D215" s="29" t="s">
        <v>381</v>
      </c>
      <c r="E215" s="12">
        <f>Source!DO151</f>
        <v>77</v>
      </c>
      <c r="F215" s="31"/>
      <c r="G215" s="30"/>
      <c r="H215" s="12"/>
      <c r="I215" s="32">
        <f>SUM(S211:S214)</f>
        <v>22.65</v>
      </c>
      <c r="J215" s="12">
        <f>Source!CA151</f>
        <v>41</v>
      </c>
      <c r="K215" s="32">
        <f>SUM(T211:T214)</f>
        <v>303.02</v>
      </c>
    </row>
    <row r="216" spans="1:22" ht="14.25" x14ac:dyDescent="0.2">
      <c r="A216" s="34"/>
      <c r="B216" s="35"/>
      <c r="C216" s="35" t="s">
        <v>384</v>
      </c>
      <c r="D216" s="36" t="s">
        <v>385</v>
      </c>
      <c r="E216" s="37">
        <f>Source!AQ150</f>
        <v>192.7</v>
      </c>
      <c r="F216" s="38"/>
      <c r="G216" s="39" t="str">
        <f>Source!DI150</f>
        <v/>
      </c>
      <c r="H216" s="37">
        <f>Source!AV151</f>
        <v>1</v>
      </c>
      <c r="I216" s="40">
        <f>Source!U150</f>
        <v>2.7748799999999996</v>
      </c>
      <c r="J216" s="37"/>
      <c r="K216" s="40"/>
    </row>
    <row r="217" spans="1:22" ht="15" x14ac:dyDescent="0.25">
      <c r="A217" s="41"/>
      <c r="B217" s="41"/>
      <c r="C217" s="42" t="s">
        <v>376</v>
      </c>
      <c r="D217" s="41"/>
      <c r="E217" s="41"/>
      <c r="F217" s="41"/>
      <c r="G217" s="41"/>
      <c r="H217" s="70">
        <f>I213+I214+I215</f>
        <v>82.94</v>
      </c>
      <c r="I217" s="70"/>
      <c r="J217" s="70">
        <f>K213+K214+K215</f>
        <v>1670.3000000000002</v>
      </c>
      <c r="K217" s="70"/>
      <c r="O217" s="33">
        <f>I213+I214+I215</f>
        <v>82.94</v>
      </c>
      <c r="P217" s="33">
        <f>K213+K214+K215</f>
        <v>1670.3000000000002</v>
      </c>
    </row>
    <row r="219" spans="1:22" ht="85.5" x14ac:dyDescent="0.2">
      <c r="A219" s="27" t="str">
        <f>Source!E152</f>
        <v>21</v>
      </c>
      <c r="B219" s="28" t="str">
        <f>Source!F152</f>
        <v>3.1-6-10</v>
      </c>
      <c r="C219" s="28" t="s">
        <v>209</v>
      </c>
      <c r="D219" s="29" t="str">
        <f>Source!H152</f>
        <v>100 м3 грунта</v>
      </c>
      <c r="E219" s="12">
        <f>Source!I152</f>
        <v>1.2959999999999999E-2</v>
      </c>
      <c r="F219" s="31"/>
      <c r="G219" s="30"/>
      <c r="H219" s="12"/>
      <c r="I219" s="32"/>
      <c r="J219" s="12"/>
      <c r="K219" s="32"/>
      <c r="Q219">
        <f>Source!X152</f>
        <v>0.18</v>
      </c>
      <c r="R219">
        <f>Source!X153</f>
        <v>4.16</v>
      </c>
      <c r="S219">
        <f>Source!Y152</f>
        <v>0.14000000000000001</v>
      </c>
      <c r="T219">
        <f>Source!Y153</f>
        <v>2.2599999999999998</v>
      </c>
      <c r="U219">
        <f>ROUND((175/100)*ROUND(Source!R152, 2), 2)</f>
        <v>3.19</v>
      </c>
      <c r="V219">
        <f>ROUND((157/100)*ROUND(Source!R153, 2), 2)</f>
        <v>67.459999999999994</v>
      </c>
    </row>
    <row r="220" spans="1:22" x14ac:dyDescent="0.2">
      <c r="C220" s="43" t="str">
        <f>"Объем: "&amp;Source!I152&amp;"=("&amp;Source!I150&amp;")*"&amp;"0,9"</f>
        <v>Объем: 0,01296=(0,0144)*0,9</v>
      </c>
    </row>
    <row r="221" spans="1:22" ht="14.25" x14ac:dyDescent="0.2">
      <c r="A221" s="27"/>
      <c r="B221" s="28"/>
      <c r="C221" s="28" t="s">
        <v>377</v>
      </c>
      <c r="D221" s="29"/>
      <c r="E221" s="12"/>
      <c r="F221" s="31">
        <f>Source!AO152</f>
        <v>14.1</v>
      </c>
      <c r="G221" s="30" t="str">
        <f>Source!DG152</f>
        <v/>
      </c>
      <c r="H221" s="12">
        <f>Source!AV153</f>
        <v>1</v>
      </c>
      <c r="I221" s="32">
        <f>Source!S152</f>
        <v>0.18</v>
      </c>
      <c r="J221" s="12">
        <f>IF(Source!BA153&lt;&gt; 0, Source!BA153, 1)</f>
        <v>25.13</v>
      </c>
      <c r="K221" s="32">
        <f>Source!S153</f>
        <v>4.5199999999999996</v>
      </c>
    </row>
    <row r="222" spans="1:22" ht="14.25" x14ac:dyDescent="0.2">
      <c r="A222" s="27"/>
      <c r="B222" s="28"/>
      <c r="C222" s="28" t="s">
        <v>378</v>
      </c>
      <c r="D222" s="29"/>
      <c r="E222" s="12"/>
      <c r="F222" s="31">
        <f>Source!AM152</f>
        <v>757.55</v>
      </c>
      <c r="G222" s="30" t="str">
        <f>Source!DE152</f>
        <v/>
      </c>
      <c r="H222" s="12">
        <f>Source!AV153</f>
        <v>1</v>
      </c>
      <c r="I222" s="32">
        <f>Source!Q152</f>
        <v>9.82</v>
      </c>
      <c r="J222" s="12">
        <f>IF(Source!BB153&lt;&gt; 0, Source!BB153, 1)</f>
        <v>9.8699999999999992</v>
      </c>
      <c r="K222" s="32">
        <f>Source!Q153</f>
        <v>103.44</v>
      </c>
    </row>
    <row r="223" spans="1:22" ht="14.25" x14ac:dyDescent="0.2">
      <c r="A223" s="27"/>
      <c r="B223" s="28"/>
      <c r="C223" s="28" t="s">
        <v>379</v>
      </c>
      <c r="D223" s="29"/>
      <c r="E223" s="12"/>
      <c r="F223" s="31">
        <f>Source!AN152</f>
        <v>140.47999999999999</v>
      </c>
      <c r="G223" s="30" t="str">
        <f>Source!DF152</f>
        <v/>
      </c>
      <c r="H223" s="12">
        <f>Source!AV153</f>
        <v>1</v>
      </c>
      <c r="I223" s="44">
        <f>Source!R152</f>
        <v>1.82</v>
      </c>
      <c r="J223" s="12">
        <f>IF(Source!BS153&lt;&gt; 0, Source!BS153, 1)</f>
        <v>25.13</v>
      </c>
      <c r="K223" s="44">
        <f>Source!R153</f>
        <v>42.97</v>
      </c>
    </row>
    <row r="224" spans="1:22" ht="14.25" x14ac:dyDescent="0.2">
      <c r="A224" s="27"/>
      <c r="B224" s="28"/>
      <c r="C224" s="28" t="s">
        <v>380</v>
      </c>
      <c r="D224" s="29" t="s">
        <v>381</v>
      </c>
      <c r="E224" s="12">
        <f>Source!DN153</f>
        <v>98</v>
      </c>
      <c r="F224" s="31"/>
      <c r="G224" s="30"/>
      <c r="H224" s="12"/>
      <c r="I224" s="32">
        <f>SUM(Q219:Q223)</f>
        <v>0.18</v>
      </c>
      <c r="J224" s="12">
        <f>Source!BZ153</f>
        <v>92</v>
      </c>
      <c r="K224" s="32">
        <f>SUM(R219:R223)</f>
        <v>4.16</v>
      </c>
    </row>
    <row r="225" spans="1:22" ht="14.25" x14ac:dyDescent="0.2">
      <c r="A225" s="27"/>
      <c r="B225" s="28"/>
      <c r="C225" s="28" t="s">
        <v>382</v>
      </c>
      <c r="D225" s="29" t="s">
        <v>381</v>
      </c>
      <c r="E225" s="12">
        <f>Source!DO153</f>
        <v>77</v>
      </c>
      <c r="F225" s="31"/>
      <c r="G225" s="30"/>
      <c r="H225" s="12"/>
      <c r="I225" s="32">
        <f>SUM(S219:S224)</f>
        <v>0.14000000000000001</v>
      </c>
      <c r="J225" s="12">
        <f>Source!CA153</f>
        <v>50</v>
      </c>
      <c r="K225" s="32">
        <f>SUM(T219:T224)</f>
        <v>2.2599999999999998</v>
      </c>
    </row>
    <row r="226" spans="1:22" ht="14.25" x14ac:dyDescent="0.2">
      <c r="A226" s="27"/>
      <c r="B226" s="28"/>
      <c r="C226" s="28" t="s">
        <v>383</v>
      </c>
      <c r="D226" s="29" t="s">
        <v>381</v>
      </c>
      <c r="E226" s="12">
        <f>175</f>
        <v>175</v>
      </c>
      <c r="F226" s="31"/>
      <c r="G226" s="30"/>
      <c r="H226" s="12"/>
      <c r="I226" s="32">
        <f>SUM(U219:U225)</f>
        <v>3.19</v>
      </c>
      <c r="J226" s="12">
        <f>157</f>
        <v>157</v>
      </c>
      <c r="K226" s="32">
        <f>SUM(V219:V225)</f>
        <v>67.459999999999994</v>
      </c>
    </row>
    <row r="227" spans="1:22" ht="14.25" x14ac:dyDescent="0.2">
      <c r="A227" s="34"/>
      <c r="B227" s="35"/>
      <c r="C227" s="35" t="s">
        <v>384</v>
      </c>
      <c r="D227" s="36" t="s">
        <v>385</v>
      </c>
      <c r="E227" s="37">
        <f>Source!AQ152</f>
        <v>1.38</v>
      </c>
      <c r="F227" s="38"/>
      <c r="G227" s="39" t="str">
        <f>Source!DI152</f>
        <v/>
      </c>
      <c r="H227" s="37">
        <f>Source!AV153</f>
        <v>1</v>
      </c>
      <c r="I227" s="40">
        <f>Source!U152</f>
        <v>1.7884799999999999E-2</v>
      </c>
      <c r="J227" s="37"/>
      <c r="K227" s="40"/>
    </row>
    <row r="228" spans="1:22" ht="15" x14ac:dyDescent="0.25">
      <c r="A228" s="41"/>
      <c r="B228" s="41"/>
      <c r="C228" s="42" t="s">
        <v>376</v>
      </c>
      <c r="D228" s="41"/>
      <c r="E228" s="41"/>
      <c r="F228" s="41"/>
      <c r="G228" s="41"/>
      <c r="H228" s="70">
        <f>I221+I222+I224+I225+I226</f>
        <v>13.51</v>
      </c>
      <c r="I228" s="70"/>
      <c r="J228" s="70">
        <f>K221+K222+K224+K225+K226</f>
        <v>181.83999999999997</v>
      </c>
      <c r="K228" s="70"/>
      <c r="O228" s="33">
        <f>I221+I222+I224+I225+I226</f>
        <v>13.51</v>
      </c>
      <c r="P228" s="33">
        <f>K221+K222+K224+K225+K226</f>
        <v>181.83999999999997</v>
      </c>
    </row>
    <row r="230" spans="1:22" ht="42.75" x14ac:dyDescent="0.2">
      <c r="A230" s="27" t="str">
        <f>Source!E154</f>
        <v>22</v>
      </c>
      <c r="B230" s="28" t="str">
        <f>Source!F154</f>
        <v>6.51-6-1</v>
      </c>
      <c r="C230" s="28" t="s">
        <v>213</v>
      </c>
      <c r="D230" s="29" t="str">
        <f>Source!H154</f>
        <v>100 м3 грунта</v>
      </c>
      <c r="E230" s="12">
        <f>Source!I154</f>
        <v>1.4400000000000001E-3</v>
      </c>
      <c r="F230" s="31"/>
      <c r="G230" s="30"/>
      <c r="H230" s="12"/>
      <c r="I230" s="32"/>
      <c r="J230" s="12"/>
      <c r="K230" s="32"/>
      <c r="Q230">
        <f>Source!X154</f>
        <v>1.05</v>
      </c>
      <c r="R230">
        <f>Source!X155</f>
        <v>21.1</v>
      </c>
      <c r="S230">
        <f>Source!Y154</f>
        <v>0.77</v>
      </c>
      <c r="T230">
        <f>Source!Y155</f>
        <v>11.85</v>
      </c>
      <c r="U230">
        <f>ROUND((175/100)*ROUND(Source!R154, 2), 2)</f>
        <v>0</v>
      </c>
      <c r="V230">
        <f>ROUND((157/100)*ROUND(Source!R155, 2), 2)</f>
        <v>0</v>
      </c>
    </row>
    <row r="231" spans="1:22" x14ac:dyDescent="0.2">
      <c r="C231" s="43" t="str">
        <f>"Объем: "&amp;Source!I154&amp;"=("&amp;Source!I152&amp;")/"&amp;"0,9*"&amp;"0,1"</f>
        <v>Объем: 0,00144=(0,01296)/0,9*0,1</v>
      </c>
    </row>
    <row r="232" spans="1:22" ht="14.25" x14ac:dyDescent="0.2">
      <c r="A232" s="27"/>
      <c r="B232" s="28"/>
      <c r="C232" s="28" t="s">
        <v>377</v>
      </c>
      <c r="D232" s="29"/>
      <c r="E232" s="12"/>
      <c r="F232" s="31">
        <f>Source!AO154</f>
        <v>795.14</v>
      </c>
      <c r="G232" s="30" t="str">
        <f>Source!DG154</f>
        <v/>
      </c>
      <c r="H232" s="12">
        <f>Source!AV155</f>
        <v>1</v>
      </c>
      <c r="I232" s="32">
        <f>Source!S154</f>
        <v>1.1499999999999999</v>
      </c>
      <c r="J232" s="12">
        <f>IF(Source!BA155&lt;&gt; 0, Source!BA155, 1)</f>
        <v>25.13</v>
      </c>
      <c r="K232" s="32">
        <f>Source!S155</f>
        <v>28.9</v>
      </c>
    </row>
    <row r="233" spans="1:22" ht="14.25" x14ac:dyDescent="0.2">
      <c r="A233" s="27"/>
      <c r="B233" s="28"/>
      <c r="C233" s="28" t="s">
        <v>380</v>
      </c>
      <c r="D233" s="29" t="s">
        <v>381</v>
      </c>
      <c r="E233" s="12">
        <f>Source!DN155</f>
        <v>91</v>
      </c>
      <c r="F233" s="31"/>
      <c r="G233" s="30"/>
      <c r="H233" s="12"/>
      <c r="I233" s="32">
        <f>SUM(Q230:Q232)</f>
        <v>1.05</v>
      </c>
      <c r="J233" s="12">
        <f>Source!BZ155</f>
        <v>73</v>
      </c>
      <c r="K233" s="32">
        <f>SUM(R230:R232)</f>
        <v>21.1</v>
      </c>
    </row>
    <row r="234" spans="1:22" ht="14.25" x14ac:dyDescent="0.2">
      <c r="A234" s="27"/>
      <c r="B234" s="28"/>
      <c r="C234" s="28" t="s">
        <v>382</v>
      </c>
      <c r="D234" s="29" t="s">
        <v>381</v>
      </c>
      <c r="E234" s="12">
        <f>Source!DO155</f>
        <v>67</v>
      </c>
      <c r="F234" s="31"/>
      <c r="G234" s="30"/>
      <c r="H234" s="12"/>
      <c r="I234" s="32">
        <f>SUM(S230:S233)</f>
        <v>0.77</v>
      </c>
      <c r="J234" s="12">
        <f>Source!CA155</f>
        <v>41</v>
      </c>
      <c r="K234" s="32">
        <f>SUM(T230:T233)</f>
        <v>11.85</v>
      </c>
    </row>
    <row r="235" spans="1:22" ht="14.25" x14ac:dyDescent="0.2">
      <c r="A235" s="34"/>
      <c r="B235" s="35"/>
      <c r="C235" s="35" t="s">
        <v>384</v>
      </c>
      <c r="D235" s="36" t="s">
        <v>385</v>
      </c>
      <c r="E235" s="37">
        <f>Source!AQ154</f>
        <v>83</v>
      </c>
      <c r="F235" s="38"/>
      <c r="G235" s="39" t="str">
        <f>Source!DI154</f>
        <v/>
      </c>
      <c r="H235" s="37">
        <f>Source!AV155</f>
        <v>1</v>
      </c>
      <c r="I235" s="40">
        <f>Source!U154</f>
        <v>0.11952</v>
      </c>
      <c r="J235" s="37"/>
      <c r="K235" s="40"/>
    </row>
    <row r="236" spans="1:22" ht="15" x14ac:dyDescent="0.25">
      <c r="A236" s="41"/>
      <c r="B236" s="41"/>
      <c r="C236" s="42" t="s">
        <v>376</v>
      </c>
      <c r="D236" s="41"/>
      <c r="E236" s="41"/>
      <c r="F236" s="41"/>
      <c r="G236" s="41"/>
      <c r="H236" s="70">
        <f>I232+I233+I234</f>
        <v>2.97</v>
      </c>
      <c r="I236" s="70"/>
      <c r="J236" s="70">
        <f>K232+K233+K234</f>
        <v>61.85</v>
      </c>
      <c r="K236" s="70"/>
      <c r="O236" s="33">
        <f>I232+I233+I234</f>
        <v>2.97</v>
      </c>
      <c r="P236" s="33">
        <f>K232+K233+K234</f>
        <v>61.85</v>
      </c>
    </row>
    <row r="238" spans="1:22" ht="57" x14ac:dyDescent="0.2">
      <c r="A238" s="27" t="str">
        <f>Source!E156</f>
        <v>23</v>
      </c>
      <c r="B238" s="28" t="str">
        <f>Source!F156</f>
        <v>15.2-55-2</v>
      </c>
      <c r="C238" s="28" t="s">
        <v>219</v>
      </c>
      <c r="D238" s="29" t="str">
        <f>Source!H156</f>
        <v>т</v>
      </c>
      <c r="E238" s="12">
        <f>Source!I156</f>
        <v>40.32</v>
      </c>
      <c r="F238" s="31"/>
      <c r="G238" s="30"/>
      <c r="H238" s="12"/>
      <c r="I238" s="32"/>
      <c r="J238" s="12"/>
      <c r="K238" s="32"/>
      <c r="Q238">
        <f>Source!X156</f>
        <v>0</v>
      </c>
      <c r="R238">
        <f>Source!X157</f>
        <v>0</v>
      </c>
      <c r="S238">
        <f>Source!Y156</f>
        <v>0</v>
      </c>
      <c r="T238">
        <f>Source!Y157</f>
        <v>0</v>
      </c>
      <c r="U238">
        <f>ROUND((175/100)*ROUND(Source!R156, 2), 2)</f>
        <v>0</v>
      </c>
      <c r="V238">
        <f>ROUND((157/100)*ROUND(Source!R157, 2), 2)</f>
        <v>0</v>
      </c>
    </row>
    <row r="239" spans="1:22" x14ac:dyDescent="0.2">
      <c r="C239" s="43" t="str">
        <f>"Объем: "&amp;Source!I156&amp;"=("&amp;Source!I148&amp;"+"&amp;""&amp;Source!I150&amp;")*"&amp;"100*"&amp;"1,4"</f>
        <v>Объем: 40,32=(0,2736+0,0144)*100*1,4</v>
      </c>
    </row>
    <row r="240" spans="1:22" ht="14.25" x14ac:dyDescent="0.2">
      <c r="A240" s="34"/>
      <c r="B240" s="35"/>
      <c r="C240" s="35" t="s">
        <v>378</v>
      </c>
      <c r="D240" s="36"/>
      <c r="E240" s="37"/>
      <c r="F240" s="38">
        <f>Source!AM156</f>
        <v>50.8</v>
      </c>
      <c r="G240" s="39" t="str">
        <f>Source!DE156</f>
        <v/>
      </c>
      <c r="H240" s="37">
        <f>Source!AV157</f>
        <v>1</v>
      </c>
      <c r="I240" s="40">
        <f>Source!Q156</f>
        <v>2048.2600000000002</v>
      </c>
      <c r="J240" s="37">
        <f>IF(Source!BB157&lt;&gt; 0, Source!BB157, 1)</f>
        <v>10.85</v>
      </c>
      <c r="K240" s="40">
        <f>Source!Q157</f>
        <v>22223.62</v>
      </c>
    </row>
    <row r="241" spans="1:22" ht="15" x14ac:dyDescent="0.25">
      <c r="A241" s="41"/>
      <c r="B241" s="41"/>
      <c r="C241" s="42" t="s">
        <v>376</v>
      </c>
      <c r="D241" s="41"/>
      <c r="E241" s="41"/>
      <c r="F241" s="41"/>
      <c r="G241" s="41"/>
      <c r="H241" s="70">
        <f>I240</f>
        <v>2048.2600000000002</v>
      </c>
      <c r="I241" s="70"/>
      <c r="J241" s="70">
        <f>K240</f>
        <v>22223.62</v>
      </c>
      <c r="K241" s="70"/>
      <c r="O241" s="33">
        <f>I240</f>
        <v>2048.2600000000002</v>
      </c>
      <c r="P241" s="33">
        <f>K240</f>
        <v>22223.62</v>
      </c>
    </row>
    <row r="243" spans="1:22" ht="42.75" x14ac:dyDescent="0.2">
      <c r="A243" s="27" t="str">
        <f>Source!E158</f>
        <v>24</v>
      </c>
      <c r="B243" s="28" t="str">
        <f>Source!F158</f>
        <v>15.1-1102-01</v>
      </c>
      <c r="C243" s="28" t="s">
        <v>225</v>
      </c>
      <c r="D243" s="29" t="str">
        <f>Source!H158</f>
        <v>1 Т</v>
      </c>
      <c r="E243" s="12">
        <f>Source!I158</f>
        <v>40.32</v>
      </c>
      <c r="F243" s="31"/>
      <c r="G243" s="30"/>
      <c r="H243" s="12"/>
      <c r="I243" s="32"/>
      <c r="J243" s="12"/>
      <c r="K243" s="32"/>
      <c r="Q243">
        <f>Source!X158</f>
        <v>0</v>
      </c>
      <c r="R243">
        <f>Source!X159</f>
        <v>0</v>
      </c>
      <c r="S243">
        <f>Source!Y158</f>
        <v>0</v>
      </c>
      <c r="T243">
        <f>Source!Y159</f>
        <v>0</v>
      </c>
      <c r="U243">
        <f>ROUND((175/100)*ROUND(Source!R158, 2), 2)</f>
        <v>0</v>
      </c>
      <c r="V243">
        <f>ROUND((157/100)*ROUND(Source!R159, 2), 2)</f>
        <v>0</v>
      </c>
    </row>
    <row r="244" spans="1:22" ht="14.25" x14ac:dyDescent="0.2">
      <c r="A244" s="34"/>
      <c r="B244" s="35"/>
      <c r="C244" s="35" t="s">
        <v>378</v>
      </c>
      <c r="D244" s="36"/>
      <c r="E244" s="37"/>
      <c r="F244" s="38">
        <f>Source!AM158</f>
        <v>12.61</v>
      </c>
      <c r="G244" s="39" t="str">
        <f>Source!DE158</f>
        <v/>
      </c>
      <c r="H244" s="37">
        <f>Source!AV159</f>
        <v>1</v>
      </c>
      <c r="I244" s="40">
        <f>Source!Q158</f>
        <v>508.44</v>
      </c>
      <c r="J244" s="37">
        <f>IF(Source!BB159&lt;&gt; 0, Source!BB159, 1)</f>
        <v>7.63</v>
      </c>
      <c r="K244" s="40">
        <f>Source!Q159</f>
        <v>3879.4</v>
      </c>
    </row>
    <row r="245" spans="1:22" ht="15" x14ac:dyDescent="0.25">
      <c r="A245" s="41"/>
      <c r="B245" s="41"/>
      <c r="C245" s="42" t="s">
        <v>376</v>
      </c>
      <c r="D245" s="41"/>
      <c r="E245" s="41"/>
      <c r="F245" s="41"/>
      <c r="G245" s="41"/>
      <c r="H245" s="70">
        <f>I244</f>
        <v>508.44</v>
      </c>
      <c r="I245" s="70"/>
      <c r="J245" s="70">
        <f>K244</f>
        <v>3879.4</v>
      </c>
      <c r="K245" s="70"/>
      <c r="O245" s="33">
        <f>I244</f>
        <v>508.44</v>
      </c>
      <c r="P245" s="33">
        <f>K244</f>
        <v>3879.4</v>
      </c>
    </row>
    <row r="247" spans="1:22" ht="57" x14ac:dyDescent="0.2">
      <c r="A247" s="27" t="str">
        <f>Source!E160</f>
        <v>25</v>
      </c>
      <c r="B247" s="28" t="str">
        <f>Source!F160</f>
        <v>3.47-26-3</v>
      </c>
      <c r="C247" s="28" t="s">
        <v>229</v>
      </c>
      <c r="D247" s="29" t="str">
        <f>Source!H160</f>
        <v>100 м2</v>
      </c>
      <c r="E247" s="12">
        <f>Source!I160</f>
        <v>1.44</v>
      </c>
      <c r="F247" s="31"/>
      <c r="G247" s="30"/>
      <c r="H247" s="12"/>
      <c r="I247" s="32"/>
      <c r="J247" s="12"/>
      <c r="K247" s="32"/>
      <c r="Q247">
        <f>Source!X160</f>
        <v>750.69</v>
      </c>
      <c r="R247">
        <f>Source!X161</f>
        <v>10289.950000000001</v>
      </c>
      <c r="S247">
        <f>Source!Y160</f>
        <v>405.45</v>
      </c>
      <c r="T247">
        <f>Source!Y161</f>
        <v>4741.45</v>
      </c>
      <c r="U247">
        <f>ROUND((175/100)*ROUND(Source!R160, 2), 2)</f>
        <v>1.65</v>
      </c>
      <c r="V247">
        <f>ROUND((157/100)*ROUND(Source!R161, 2), 2)</f>
        <v>37.08</v>
      </c>
    </row>
    <row r="248" spans="1:22" x14ac:dyDescent="0.2">
      <c r="C248" s="43" t="str">
        <f>"Объем: "&amp;Source!I160&amp;"=(192*"&amp;"0,75)/"&amp;"100"</f>
        <v>Объем: 1,44=(192*0,75)/100</v>
      </c>
    </row>
    <row r="249" spans="1:22" ht="14.25" x14ac:dyDescent="0.2">
      <c r="A249" s="27"/>
      <c r="B249" s="28"/>
      <c r="C249" s="28" t="s">
        <v>377</v>
      </c>
      <c r="D249" s="29"/>
      <c r="E249" s="12"/>
      <c r="F249" s="31">
        <f>Source!AO160</f>
        <v>278.77999999999997</v>
      </c>
      <c r="G249" s="30" t="str">
        <f>Source!DG160</f>
        <v/>
      </c>
      <c r="H249" s="12">
        <f>Source!AV161</f>
        <v>1</v>
      </c>
      <c r="I249" s="32">
        <f>Source!S160</f>
        <v>401.44</v>
      </c>
      <c r="J249" s="12">
        <f>IF(Source!BA161&lt;&gt; 0, Source!BA161, 1)</f>
        <v>25.13</v>
      </c>
      <c r="K249" s="32">
        <f>Source!S161</f>
        <v>10088.19</v>
      </c>
    </row>
    <row r="250" spans="1:22" ht="14.25" x14ac:dyDescent="0.2">
      <c r="A250" s="27"/>
      <c r="B250" s="28"/>
      <c r="C250" s="28" t="s">
        <v>378</v>
      </c>
      <c r="D250" s="29"/>
      <c r="E250" s="12"/>
      <c r="F250" s="31">
        <f>Source!AM160</f>
        <v>4.9800000000000004</v>
      </c>
      <c r="G250" s="30" t="str">
        <f>Source!DE160</f>
        <v/>
      </c>
      <c r="H250" s="12">
        <f>Source!AV161</f>
        <v>1</v>
      </c>
      <c r="I250" s="32">
        <f>Source!Q160</f>
        <v>7.17</v>
      </c>
      <c r="J250" s="12">
        <f>IF(Source!BB161&lt;&gt; 0, Source!BB161, 1)</f>
        <v>9.59</v>
      </c>
      <c r="K250" s="32">
        <f>Source!Q161</f>
        <v>68.760000000000005</v>
      </c>
    </row>
    <row r="251" spans="1:22" ht="14.25" x14ac:dyDescent="0.2">
      <c r="A251" s="27"/>
      <c r="B251" s="28"/>
      <c r="C251" s="28" t="s">
        <v>379</v>
      </c>
      <c r="D251" s="29"/>
      <c r="E251" s="12"/>
      <c r="F251" s="31">
        <f>Source!AN160</f>
        <v>0.65</v>
      </c>
      <c r="G251" s="30" t="str">
        <f>Source!DF160</f>
        <v/>
      </c>
      <c r="H251" s="12">
        <f>Source!AV161</f>
        <v>1</v>
      </c>
      <c r="I251" s="44">
        <f>Source!R160</f>
        <v>0.94</v>
      </c>
      <c r="J251" s="12">
        <f>IF(Source!BS161&lt;&gt; 0, Source!BS161, 1)</f>
        <v>25.13</v>
      </c>
      <c r="K251" s="44">
        <f>Source!R161</f>
        <v>23.62</v>
      </c>
    </row>
    <row r="252" spans="1:22" ht="14.25" x14ac:dyDescent="0.2">
      <c r="A252" s="27" t="str">
        <f>Source!E162</f>
        <v>25,1</v>
      </c>
      <c r="B252" s="28" t="str">
        <f>Source!F162</f>
        <v>1.4-6-1</v>
      </c>
      <c r="C252" s="28" t="s">
        <v>235</v>
      </c>
      <c r="D252" s="29" t="str">
        <f>Source!H162</f>
        <v>м3</v>
      </c>
      <c r="E252" s="12">
        <f>Source!I162</f>
        <v>21.6</v>
      </c>
      <c r="F252" s="31">
        <f>Source!AK162</f>
        <v>146.84</v>
      </c>
      <c r="G252" s="45" t="s">
        <v>3</v>
      </c>
      <c r="H252" s="12">
        <f>Source!AW163</f>
        <v>1</v>
      </c>
      <c r="I252" s="32">
        <f>Source!O162</f>
        <v>3171.74</v>
      </c>
      <c r="J252" s="12">
        <f>IF(Source!BC163&lt;&gt; 0, Source!BC163, 1)</f>
        <v>6.37</v>
      </c>
      <c r="K252" s="32">
        <f>Source!O163</f>
        <v>20203.98</v>
      </c>
      <c r="Q252">
        <f>Source!X162</f>
        <v>0</v>
      </c>
      <c r="R252">
        <f>Source!X163</f>
        <v>0</v>
      </c>
      <c r="S252">
        <f>Source!Y162</f>
        <v>0</v>
      </c>
      <c r="T252">
        <f>Source!Y163</f>
        <v>0</v>
      </c>
      <c r="U252">
        <f>ROUND((175/100)*ROUND(Source!R162, 2), 2)</f>
        <v>0</v>
      </c>
      <c r="V252">
        <f>ROUND((157/100)*ROUND(Source!R163, 2), 2)</f>
        <v>0</v>
      </c>
    </row>
    <row r="253" spans="1:22" ht="14.25" x14ac:dyDescent="0.2">
      <c r="A253" s="27"/>
      <c r="B253" s="28"/>
      <c r="C253" s="28" t="s">
        <v>380</v>
      </c>
      <c r="D253" s="29" t="s">
        <v>381</v>
      </c>
      <c r="E253" s="12">
        <f>Source!DN161</f>
        <v>187</v>
      </c>
      <c r="F253" s="31"/>
      <c r="G253" s="30"/>
      <c r="H253" s="12"/>
      <c r="I253" s="32">
        <f>SUM(Q247:Q252)</f>
        <v>750.69</v>
      </c>
      <c r="J253" s="12">
        <f>Source!BZ161</f>
        <v>102</v>
      </c>
      <c r="K253" s="32">
        <f>SUM(R247:R252)</f>
        <v>10289.950000000001</v>
      </c>
    </row>
    <row r="254" spans="1:22" ht="14.25" x14ac:dyDescent="0.2">
      <c r="A254" s="27"/>
      <c r="B254" s="28"/>
      <c r="C254" s="28" t="s">
        <v>382</v>
      </c>
      <c r="D254" s="29" t="s">
        <v>381</v>
      </c>
      <c r="E254" s="12">
        <f>Source!DO161</f>
        <v>101</v>
      </c>
      <c r="F254" s="31"/>
      <c r="G254" s="30"/>
      <c r="H254" s="12"/>
      <c r="I254" s="32">
        <f>SUM(S247:S253)</f>
        <v>405.45</v>
      </c>
      <c r="J254" s="12">
        <f>Source!CA161</f>
        <v>47</v>
      </c>
      <c r="K254" s="32">
        <f>SUM(T247:T253)</f>
        <v>4741.45</v>
      </c>
    </row>
    <row r="255" spans="1:22" ht="14.25" x14ac:dyDescent="0.2">
      <c r="A255" s="27"/>
      <c r="B255" s="28"/>
      <c r="C255" s="28" t="s">
        <v>383</v>
      </c>
      <c r="D255" s="29" t="s">
        <v>381</v>
      </c>
      <c r="E255" s="12">
        <f>175</f>
        <v>175</v>
      </c>
      <c r="F255" s="31"/>
      <c r="G255" s="30"/>
      <c r="H255" s="12"/>
      <c r="I255" s="32">
        <f>SUM(U247:U254)</f>
        <v>1.65</v>
      </c>
      <c r="J255" s="12">
        <f>157</f>
        <v>157</v>
      </c>
      <c r="K255" s="32">
        <f>SUM(V247:V254)</f>
        <v>37.08</v>
      </c>
    </row>
    <row r="256" spans="1:22" ht="14.25" x14ac:dyDescent="0.2">
      <c r="A256" s="34"/>
      <c r="B256" s="35"/>
      <c r="C256" s="35" t="s">
        <v>384</v>
      </c>
      <c r="D256" s="36" t="s">
        <v>385</v>
      </c>
      <c r="E256" s="37">
        <f>Source!AQ160</f>
        <v>26.78</v>
      </c>
      <c r="F256" s="38"/>
      <c r="G256" s="39" t="str">
        <f>Source!DI160</f>
        <v/>
      </c>
      <c r="H256" s="37">
        <f>Source!AV161</f>
        <v>1</v>
      </c>
      <c r="I256" s="40">
        <f>Source!U160</f>
        <v>38.563200000000002</v>
      </c>
      <c r="J256" s="37"/>
      <c r="K256" s="40"/>
    </row>
    <row r="257" spans="1:22" ht="15" x14ac:dyDescent="0.25">
      <c r="A257" s="41"/>
      <c r="B257" s="41"/>
      <c r="C257" s="42" t="s">
        <v>376</v>
      </c>
      <c r="D257" s="41"/>
      <c r="E257" s="41"/>
      <c r="F257" s="41"/>
      <c r="G257" s="41"/>
      <c r="H257" s="70">
        <f>I249+I250+I253+I254+I255+SUM(I252:I252)</f>
        <v>4738.1400000000003</v>
      </c>
      <c r="I257" s="70"/>
      <c r="J257" s="70">
        <f>K249+K250+K253+K254+K255+SUM(K252:K252)</f>
        <v>45429.41</v>
      </c>
      <c r="K257" s="70"/>
      <c r="O257" s="33">
        <f>I249+I250+I253+I254+I255+SUM(I252:I252)</f>
        <v>4738.1400000000003</v>
      </c>
      <c r="P257" s="33">
        <f>K249+K250+K253+K254+K255+SUM(K252:K252)</f>
        <v>45429.41</v>
      </c>
    </row>
    <row r="259" spans="1:22" ht="57" x14ac:dyDescent="0.2">
      <c r="A259" s="27" t="str">
        <f>Source!E164</f>
        <v>26</v>
      </c>
      <c r="B259" s="28" t="str">
        <f>Source!F164</f>
        <v>3.47-26-4</v>
      </c>
      <c r="C259" s="28" t="s">
        <v>239</v>
      </c>
      <c r="D259" s="29" t="str">
        <f>Source!H164</f>
        <v>100 м2</v>
      </c>
      <c r="E259" s="12">
        <f>Source!I164</f>
        <v>0.48</v>
      </c>
      <c r="F259" s="31"/>
      <c r="G259" s="30"/>
      <c r="H259" s="12"/>
      <c r="I259" s="32"/>
      <c r="J259" s="12"/>
      <c r="K259" s="32"/>
      <c r="Q259">
        <f>Source!X164</f>
        <v>373.76</v>
      </c>
      <c r="R259">
        <f>Source!X165</f>
        <v>5123.18</v>
      </c>
      <c r="S259">
        <f>Source!Y164</f>
        <v>201.87</v>
      </c>
      <c r="T259">
        <f>Source!Y165</f>
        <v>2360.6799999999998</v>
      </c>
      <c r="U259">
        <f>ROUND((175/100)*ROUND(Source!R164, 2), 2)</f>
        <v>0</v>
      </c>
      <c r="V259">
        <f>ROUND((157/100)*ROUND(Source!R165, 2), 2)</f>
        <v>0</v>
      </c>
    </row>
    <row r="260" spans="1:22" x14ac:dyDescent="0.2">
      <c r="C260" s="43" t="str">
        <f>"Объем: "&amp;Source!I164&amp;"=(192*"&amp;"0,25)/"&amp;"100"</f>
        <v>Объем: 0,48=(192*0,25)/100</v>
      </c>
    </row>
    <row r="261" spans="1:22" ht="14.25" x14ac:dyDescent="0.2">
      <c r="A261" s="27"/>
      <c r="B261" s="28"/>
      <c r="C261" s="28" t="s">
        <v>377</v>
      </c>
      <c r="D261" s="29"/>
      <c r="E261" s="12"/>
      <c r="F261" s="31">
        <f>Source!AO164</f>
        <v>416.4</v>
      </c>
      <c r="G261" s="30" t="str">
        <f>Source!DG164</f>
        <v/>
      </c>
      <c r="H261" s="12">
        <f>Source!AV165</f>
        <v>1</v>
      </c>
      <c r="I261" s="32">
        <f>Source!S164</f>
        <v>199.87</v>
      </c>
      <c r="J261" s="12">
        <f>IF(Source!BA165&lt;&gt; 0, Source!BA165, 1)</f>
        <v>25.13</v>
      </c>
      <c r="K261" s="32">
        <f>Source!S165</f>
        <v>5022.7299999999996</v>
      </c>
    </row>
    <row r="262" spans="1:22" ht="14.25" x14ac:dyDescent="0.2">
      <c r="A262" s="27" t="str">
        <f>Source!E166</f>
        <v>26,1</v>
      </c>
      <c r="B262" s="28" t="str">
        <f>Source!F166</f>
        <v>1.4-6-1</v>
      </c>
      <c r="C262" s="28" t="s">
        <v>235</v>
      </c>
      <c r="D262" s="29" t="str">
        <f>Source!H166</f>
        <v>м3</v>
      </c>
      <c r="E262" s="12">
        <f>Source!I166</f>
        <v>7.2</v>
      </c>
      <c r="F262" s="31">
        <f>Source!AK166</f>
        <v>146.84</v>
      </c>
      <c r="G262" s="45" t="s">
        <v>3</v>
      </c>
      <c r="H262" s="12">
        <f>Source!AW167</f>
        <v>1</v>
      </c>
      <c r="I262" s="32">
        <f>Source!O166</f>
        <v>1057.25</v>
      </c>
      <c r="J262" s="12">
        <f>IF(Source!BC167&lt;&gt; 0, Source!BC167, 1)</f>
        <v>6.37</v>
      </c>
      <c r="K262" s="32">
        <f>Source!O167</f>
        <v>6734.68</v>
      </c>
      <c r="Q262">
        <f>Source!X166</f>
        <v>0</v>
      </c>
      <c r="R262">
        <f>Source!X167</f>
        <v>0</v>
      </c>
      <c r="S262">
        <f>Source!Y166</f>
        <v>0</v>
      </c>
      <c r="T262">
        <f>Source!Y167</f>
        <v>0</v>
      </c>
      <c r="U262">
        <f>ROUND((175/100)*ROUND(Source!R166, 2), 2)</f>
        <v>0</v>
      </c>
      <c r="V262">
        <f>ROUND((157/100)*ROUND(Source!R167, 2), 2)</f>
        <v>0</v>
      </c>
    </row>
    <row r="263" spans="1:22" ht="14.25" x14ac:dyDescent="0.2">
      <c r="A263" s="27"/>
      <c r="B263" s="28"/>
      <c r="C263" s="28" t="s">
        <v>380</v>
      </c>
      <c r="D263" s="29" t="s">
        <v>381</v>
      </c>
      <c r="E263" s="12">
        <f>Source!DN165</f>
        <v>187</v>
      </c>
      <c r="F263" s="31"/>
      <c r="G263" s="30"/>
      <c r="H263" s="12"/>
      <c r="I263" s="32">
        <f>SUM(Q259:Q262)</f>
        <v>373.76</v>
      </c>
      <c r="J263" s="12">
        <f>Source!BZ165</f>
        <v>102</v>
      </c>
      <c r="K263" s="32">
        <f>SUM(R259:R262)</f>
        <v>5123.18</v>
      </c>
    </row>
    <row r="264" spans="1:22" ht="14.25" x14ac:dyDescent="0.2">
      <c r="A264" s="27"/>
      <c r="B264" s="28"/>
      <c r="C264" s="28" t="s">
        <v>382</v>
      </c>
      <c r="D264" s="29" t="s">
        <v>381</v>
      </c>
      <c r="E264" s="12">
        <f>Source!DO165</f>
        <v>101</v>
      </c>
      <c r="F264" s="31"/>
      <c r="G264" s="30"/>
      <c r="H264" s="12"/>
      <c r="I264" s="32">
        <f>SUM(S259:S263)</f>
        <v>201.87</v>
      </c>
      <c r="J264" s="12">
        <f>Source!CA165</f>
        <v>47</v>
      </c>
      <c r="K264" s="32">
        <f>SUM(T259:T263)</f>
        <v>2360.6799999999998</v>
      </c>
    </row>
    <row r="265" spans="1:22" ht="14.25" x14ac:dyDescent="0.2">
      <c r="A265" s="34"/>
      <c r="B265" s="35"/>
      <c r="C265" s="35" t="s">
        <v>384</v>
      </c>
      <c r="D265" s="36" t="s">
        <v>385</v>
      </c>
      <c r="E265" s="37">
        <f>Source!AQ164</f>
        <v>40</v>
      </c>
      <c r="F265" s="38"/>
      <c r="G265" s="39" t="str">
        <f>Source!DI164</f>
        <v/>
      </c>
      <c r="H265" s="37">
        <f>Source!AV165</f>
        <v>1</v>
      </c>
      <c r="I265" s="40">
        <f>Source!U164</f>
        <v>19.2</v>
      </c>
      <c r="J265" s="37"/>
      <c r="K265" s="40"/>
    </row>
    <row r="266" spans="1:22" ht="15" x14ac:dyDescent="0.25">
      <c r="A266" s="41"/>
      <c r="B266" s="41"/>
      <c r="C266" s="42" t="s">
        <v>376</v>
      </c>
      <c r="D266" s="41"/>
      <c r="E266" s="41"/>
      <c r="F266" s="41"/>
      <c r="G266" s="41"/>
      <c r="H266" s="70">
        <f>I261+I263+I264+SUM(I262:I262)</f>
        <v>1832.75</v>
      </c>
      <c r="I266" s="70"/>
      <c r="J266" s="70">
        <f>K261+K263+K264+SUM(K262:K262)</f>
        <v>19241.27</v>
      </c>
      <c r="K266" s="70"/>
      <c r="O266" s="33">
        <f>I261+I263+I264+SUM(I262:I262)</f>
        <v>1832.75</v>
      </c>
      <c r="P266" s="33">
        <f>K261+K263+K264+SUM(K262:K262)</f>
        <v>19241.27</v>
      </c>
    </row>
    <row r="268" spans="1:22" ht="42.75" x14ac:dyDescent="0.2">
      <c r="A268" s="27" t="str">
        <f>Source!E168</f>
        <v>27</v>
      </c>
      <c r="B268" s="28" t="str">
        <f>Source!F168</f>
        <v>3.47-26-6</v>
      </c>
      <c r="C268" s="28" t="s">
        <v>244</v>
      </c>
      <c r="D268" s="29" t="str">
        <f>Source!H168</f>
        <v>100 м2</v>
      </c>
      <c r="E268" s="12">
        <f>Source!I168</f>
        <v>1.92</v>
      </c>
      <c r="F268" s="31"/>
      <c r="G268" s="30"/>
      <c r="H268" s="12"/>
      <c r="I268" s="32"/>
      <c r="J268" s="12"/>
      <c r="K268" s="32"/>
      <c r="Q268">
        <f>Source!X168</f>
        <v>210.75</v>
      </c>
      <c r="R268">
        <f>Source!X169</f>
        <v>2888.79</v>
      </c>
      <c r="S268">
        <f>Source!Y168</f>
        <v>113.83</v>
      </c>
      <c r="T268">
        <f>Source!Y169</f>
        <v>1331.11</v>
      </c>
      <c r="U268">
        <f>ROUND((175/100)*ROUND(Source!R168, 2), 2)</f>
        <v>0</v>
      </c>
      <c r="V268">
        <f>ROUND((157/100)*ROUND(Source!R169, 2), 2)</f>
        <v>0</v>
      </c>
    </row>
    <row r="269" spans="1:22" x14ac:dyDescent="0.2">
      <c r="C269" s="43" t="str">
        <f>"Объем: "&amp;Source!I168&amp;"=192/"&amp;"100"</f>
        <v>Объем: 1,92=192/100</v>
      </c>
    </row>
    <row r="270" spans="1:22" ht="14.25" x14ac:dyDescent="0.2">
      <c r="A270" s="27"/>
      <c r="B270" s="28"/>
      <c r="C270" s="28" t="s">
        <v>377</v>
      </c>
      <c r="D270" s="29"/>
      <c r="E270" s="12"/>
      <c r="F270" s="31">
        <f>Source!AO168</f>
        <v>58.7</v>
      </c>
      <c r="G270" s="30" t="str">
        <f>Source!DG168</f>
        <v/>
      </c>
      <c r="H270" s="12">
        <f>Source!AV169</f>
        <v>1</v>
      </c>
      <c r="I270" s="32">
        <f>Source!S168</f>
        <v>112.7</v>
      </c>
      <c r="J270" s="12">
        <f>IF(Source!BA169&lt;&gt; 0, Source!BA169, 1)</f>
        <v>25.13</v>
      </c>
      <c r="K270" s="32">
        <f>Source!S169</f>
        <v>2832.15</v>
      </c>
    </row>
    <row r="271" spans="1:22" ht="14.25" x14ac:dyDescent="0.2">
      <c r="A271" s="27"/>
      <c r="B271" s="28"/>
      <c r="C271" s="28" t="s">
        <v>386</v>
      </c>
      <c r="D271" s="29"/>
      <c r="E271" s="12"/>
      <c r="F271" s="31">
        <f>Source!AL168</f>
        <v>70.7</v>
      </c>
      <c r="G271" s="30" t="str">
        <f>Source!DD168</f>
        <v/>
      </c>
      <c r="H271" s="12">
        <f>Source!AW169</f>
        <v>1</v>
      </c>
      <c r="I271" s="32">
        <f>Source!P168</f>
        <v>135.74</v>
      </c>
      <c r="J271" s="12">
        <f>IF(Source!BC169&lt;&gt; 0, Source!BC169, 1)</f>
        <v>4.99</v>
      </c>
      <c r="K271" s="32">
        <f>Source!P169</f>
        <v>677.34</v>
      </c>
    </row>
    <row r="272" spans="1:22" ht="28.5" x14ac:dyDescent="0.2">
      <c r="A272" s="27" t="str">
        <f>Source!E170</f>
        <v>27,1</v>
      </c>
      <c r="B272" s="28" t="str">
        <f>Source!F170</f>
        <v>1.4-6-6</v>
      </c>
      <c r="C272" s="28" t="s">
        <v>248</v>
      </c>
      <c r="D272" s="29" t="str">
        <f>Source!H170</f>
        <v>кг</v>
      </c>
      <c r="E272" s="12">
        <f>Source!I170</f>
        <v>7.68</v>
      </c>
      <c r="F272" s="31">
        <f>Source!AK170</f>
        <v>57.93</v>
      </c>
      <c r="G272" s="45" t="s">
        <v>3</v>
      </c>
      <c r="H272" s="12">
        <f>Source!AW171</f>
        <v>1</v>
      </c>
      <c r="I272" s="32">
        <f>Source!O170</f>
        <v>444.9</v>
      </c>
      <c r="J272" s="12">
        <f>IF(Source!BC171&lt;&gt; 0, Source!BC171, 1)</f>
        <v>1.84</v>
      </c>
      <c r="K272" s="32">
        <f>Source!O171</f>
        <v>818.62</v>
      </c>
      <c r="Q272">
        <f>Source!X170</f>
        <v>0</v>
      </c>
      <c r="R272">
        <f>Source!X171</f>
        <v>0</v>
      </c>
      <c r="S272">
        <f>Source!Y170</f>
        <v>0</v>
      </c>
      <c r="T272">
        <f>Source!Y171</f>
        <v>0</v>
      </c>
      <c r="U272">
        <f>ROUND((175/100)*ROUND(Source!R170, 2), 2)</f>
        <v>0</v>
      </c>
      <c r="V272">
        <f>ROUND((157/100)*ROUND(Source!R171, 2), 2)</f>
        <v>0</v>
      </c>
    </row>
    <row r="273" spans="1:16" ht="14.25" x14ac:dyDescent="0.2">
      <c r="A273" s="27"/>
      <c r="B273" s="28"/>
      <c r="C273" s="28" t="s">
        <v>380</v>
      </c>
      <c r="D273" s="29" t="s">
        <v>381</v>
      </c>
      <c r="E273" s="12">
        <f>Source!DN169</f>
        <v>187</v>
      </c>
      <c r="F273" s="31"/>
      <c r="G273" s="30"/>
      <c r="H273" s="12"/>
      <c r="I273" s="32">
        <f>SUM(Q268:Q272)</f>
        <v>210.75</v>
      </c>
      <c r="J273" s="12">
        <f>Source!BZ169</f>
        <v>102</v>
      </c>
      <c r="K273" s="32">
        <f>SUM(R268:R272)</f>
        <v>2888.79</v>
      </c>
    </row>
    <row r="274" spans="1:16" ht="14.25" x14ac:dyDescent="0.2">
      <c r="A274" s="27"/>
      <c r="B274" s="28"/>
      <c r="C274" s="28" t="s">
        <v>382</v>
      </c>
      <c r="D274" s="29" t="s">
        <v>381</v>
      </c>
      <c r="E274" s="12">
        <f>Source!DO169</f>
        <v>101</v>
      </c>
      <c r="F274" s="31"/>
      <c r="G274" s="30"/>
      <c r="H274" s="12"/>
      <c r="I274" s="32">
        <f>SUM(S268:S273)</f>
        <v>113.83</v>
      </c>
      <c r="J274" s="12">
        <f>Source!CA169</f>
        <v>47</v>
      </c>
      <c r="K274" s="32">
        <f>SUM(T268:T273)</f>
        <v>1331.11</v>
      </c>
    </row>
    <row r="275" spans="1:16" ht="14.25" x14ac:dyDescent="0.2">
      <c r="A275" s="34"/>
      <c r="B275" s="35"/>
      <c r="C275" s="35" t="s">
        <v>384</v>
      </c>
      <c r="D275" s="36" t="s">
        <v>385</v>
      </c>
      <c r="E275" s="37">
        <f>Source!AQ168</f>
        <v>5.25</v>
      </c>
      <c r="F275" s="38"/>
      <c r="G275" s="39" t="str">
        <f>Source!DI168</f>
        <v/>
      </c>
      <c r="H275" s="37">
        <f>Source!AV169</f>
        <v>1</v>
      </c>
      <c r="I275" s="40">
        <f>Source!U168</f>
        <v>10.08</v>
      </c>
      <c r="J275" s="37"/>
      <c r="K275" s="40"/>
    </row>
    <row r="276" spans="1:16" ht="15" x14ac:dyDescent="0.25">
      <c r="A276" s="41"/>
      <c r="B276" s="41"/>
      <c r="C276" s="42" t="s">
        <v>376</v>
      </c>
      <c r="D276" s="41"/>
      <c r="E276" s="41"/>
      <c r="F276" s="41"/>
      <c r="G276" s="41"/>
      <c r="H276" s="70">
        <f>I270+I271+I273+I274+SUM(I272:I272)</f>
        <v>1017.92</v>
      </c>
      <c r="I276" s="70"/>
      <c r="J276" s="70">
        <f>K270+K271+K273+K274+SUM(K272:K272)</f>
        <v>8548.01</v>
      </c>
      <c r="K276" s="70"/>
      <c r="O276" s="33">
        <f>I270+I271+I273+I274+SUM(I272:I272)</f>
        <v>1017.92</v>
      </c>
      <c r="P276" s="33">
        <f>K270+K271+K273+K274+SUM(K272:K272)</f>
        <v>8548.01</v>
      </c>
    </row>
    <row r="279" spans="1:16" ht="15" x14ac:dyDescent="0.25">
      <c r="A279" s="67" t="str">
        <f>CONCATENATE("Итого по разделу: ",IF(Source!G173&lt;&gt;"Новый раздел", Source!G173, ""))</f>
        <v>Итого по разделу: Устройство газона 15 см</v>
      </c>
      <c r="B279" s="67"/>
      <c r="C279" s="67"/>
      <c r="D279" s="67"/>
      <c r="E279" s="67"/>
      <c r="F279" s="67"/>
      <c r="G279" s="67"/>
      <c r="H279" s="68">
        <f>SUM(O196:O278)</f>
        <v>10539.820000000002</v>
      </c>
      <c r="I279" s="69"/>
      <c r="J279" s="68">
        <f>SUM(P196:P278)</f>
        <v>105075.51000000001</v>
      </c>
      <c r="K279" s="69"/>
    </row>
    <row r="280" spans="1:16" hidden="1" x14ac:dyDescent="0.2">
      <c r="A280" t="s">
        <v>387</v>
      </c>
      <c r="I280">
        <f>SUM(W196:W279)</f>
        <v>0</v>
      </c>
      <c r="J280">
        <f>SUM(X196:X279)</f>
        <v>0</v>
      </c>
    </row>
    <row r="281" spans="1:16" hidden="1" x14ac:dyDescent="0.2">
      <c r="A281" t="s">
        <v>388</v>
      </c>
      <c r="I281">
        <f>SUM(Y196:Y280)</f>
        <v>0</v>
      </c>
      <c r="J281">
        <f>SUM(Z196:Z280)</f>
        <v>0</v>
      </c>
    </row>
    <row r="283" spans="1:16" ht="15" x14ac:dyDescent="0.25">
      <c r="A283" s="67" t="str">
        <f>CONCATENATE("Итого по локальной смете: ",IF(Source!G203&lt;&gt;"Новая локальная смета", Source!G203, ""))</f>
        <v xml:space="preserve">Итого по локальной смете: </v>
      </c>
      <c r="B283" s="67"/>
      <c r="C283" s="67"/>
      <c r="D283" s="67"/>
      <c r="E283" s="67"/>
      <c r="F283" s="67"/>
      <c r="G283" s="67"/>
      <c r="H283" s="68">
        <f>SUM(O35:O282)</f>
        <v>306129.69999999995</v>
      </c>
      <c r="I283" s="69"/>
      <c r="J283" s="68">
        <f>SUM(P35:P282)</f>
        <v>1098343.5300000003</v>
      </c>
      <c r="K283" s="69"/>
    </row>
    <row r="284" spans="1:16" hidden="1" x14ac:dyDescent="0.2">
      <c r="A284" t="s">
        <v>387</v>
      </c>
      <c r="I284">
        <f>SUM(W35:W283)</f>
        <v>0</v>
      </c>
      <c r="J284">
        <f>SUM(X35:X283)</f>
        <v>0</v>
      </c>
    </row>
    <row r="285" spans="1:16" hidden="1" x14ac:dyDescent="0.2">
      <c r="A285" t="s">
        <v>388</v>
      </c>
      <c r="I285">
        <f>SUM(Y35:Y284)</f>
        <v>0</v>
      </c>
      <c r="J285">
        <f>SUM(Z35:Z284)</f>
        <v>0</v>
      </c>
    </row>
    <row r="286" spans="1:16" ht="14.25" x14ac:dyDescent="0.2">
      <c r="C286" s="65" t="str">
        <f>Source!H232</f>
        <v>НДС,20%</v>
      </c>
      <c r="D286" s="65"/>
      <c r="E286" s="65"/>
      <c r="F286" s="65"/>
      <c r="G286" s="65"/>
      <c r="H286" s="66">
        <f>Source!F232</f>
        <v>61225.94</v>
      </c>
      <c r="I286" s="66"/>
      <c r="J286" s="66">
        <f>Source!P232</f>
        <v>219668.71</v>
      </c>
      <c r="K286" s="66"/>
    </row>
    <row r="287" spans="1:16" ht="14.25" x14ac:dyDescent="0.2">
      <c r="C287" s="65" t="str">
        <f>Source!H233</f>
        <v>Итого с НДС</v>
      </c>
      <c r="D287" s="65"/>
      <c r="E287" s="65"/>
      <c r="F287" s="65"/>
      <c r="G287" s="65"/>
      <c r="H287" s="66">
        <f>Source!F233</f>
        <v>367355.64</v>
      </c>
      <c r="I287" s="66"/>
      <c r="J287" s="66">
        <f>Source!P233</f>
        <v>1318012.24</v>
      </c>
      <c r="K287" s="66"/>
    </row>
    <row r="290" spans="1:11" ht="14.25" x14ac:dyDescent="0.2">
      <c r="A290" s="62" t="s">
        <v>391</v>
      </c>
      <c r="B290" s="62"/>
      <c r="C290" s="47" t="str">
        <f>IF(Source!AC12&lt;&gt;"", Source!AC12," ")</f>
        <v xml:space="preserve"> </v>
      </c>
      <c r="D290" s="47"/>
      <c r="E290" s="47"/>
      <c r="F290" s="47"/>
      <c r="G290" s="47"/>
      <c r="H290" s="63" t="str">
        <f>IF(Source!AB12&lt;&gt;"", Source!AB12," ")</f>
        <v xml:space="preserve"> </v>
      </c>
      <c r="I290" s="63"/>
      <c r="J290" s="63"/>
      <c r="K290" s="63"/>
    </row>
    <row r="291" spans="1:11" ht="14.25" x14ac:dyDescent="0.2">
      <c r="A291" s="13"/>
      <c r="B291" s="13"/>
      <c r="C291" s="64" t="s">
        <v>392</v>
      </c>
      <c r="D291" s="64"/>
      <c r="E291" s="64"/>
      <c r="F291" s="64"/>
      <c r="G291" s="64"/>
      <c r="H291" s="13"/>
      <c r="I291" s="13"/>
      <c r="J291" s="13"/>
      <c r="K291" s="13"/>
    </row>
    <row r="292" spans="1:11" ht="14.25" x14ac:dyDescent="0.2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</row>
    <row r="293" spans="1:11" ht="14.25" x14ac:dyDescent="0.2">
      <c r="A293" s="62" t="s">
        <v>393</v>
      </c>
      <c r="B293" s="62"/>
      <c r="C293" s="47" t="str">
        <f>IF(Source!AE12&lt;&gt;"", Source!AE12," ")</f>
        <v xml:space="preserve"> </v>
      </c>
      <c r="D293" s="47"/>
      <c r="E293" s="47"/>
      <c r="F293" s="47"/>
      <c r="G293" s="47"/>
      <c r="H293" s="63" t="str">
        <f>IF(Source!AD12&lt;&gt;"", Source!AD12," ")</f>
        <v xml:space="preserve"> </v>
      </c>
      <c r="I293" s="63"/>
      <c r="J293" s="63"/>
      <c r="K293" s="63"/>
    </row>
    <row r="294" spans="1:11" ht="14.25" x14ac:dyDescent="0.2">
      <c r="A294" s="13"/>
      <c r="B294" s="13"/>
      <c r="C294" s="64" t="s">
        <v>392</v>
      </c>
      <c r="D294" s="64"/>
      <c r="E294" s="64"/>
      <c r="F294" s="64"/>
      <c r="G294" s="64"/>
      <c r="H294" s="13"/>
      <c r="I294" s="13"/>
      <c r="J294" s="13"/>
      <c r="K294" s="13"/>
    </row>
  </sheetData>
  <mergeCells count="106">
    <mergeCell ref="B7:E7"/>
    <mergeCell ref="G7:K7"/>
    <mergeCell ref="J2:K2"/>
    <mergeCell ref="A10:K10"/>
    <mergeCell ref="A11:K11"/>
    <mergeCell ref="A13:K13"/>
    <mergeCell ref="B3:E3"/>
    <mergeCell ref="G3:K3"/>
    <mergeCell ref="B4:E4"/>
    <mergeCell ref="G4:K4"/>
    <mergeCell ref="B6:E6"/>
    <mergeCell ref="G6:K6"/>
    <mergeCell ref="E24:H24"/>
    <mergeCell ref="E25:H25"/>
    <mergeCell ref="E26:H26"/>
    <mergeCell ref="E27:H27"/>
    <mergeCell ref="E28:H28"/>
    <mergeCell ref="E29:H29"/>
    <mergeCell ref="A15:K15"/>
    <mergeCell ref="A16:K16"/>
    <mergeCell ref="A18:K18"/>
    <mergeCell ref="E21:H21"/>
    <mergeCell ref="E22:H22"/>
    <mergeCell ref="E23:H23"/>
    <mergeCell ref="J56:K56"/>
    <mergeCell ref="H56:I56"/>
    <mergeCell ref="J64:K64"/>
    <mergeCell ref="H64:I64"/>
    <mergeCell ref="J69:K69"/>
    <mergeCell ref="H69:I69"/>
    <mergeCell ref="A32:K32"/>
    <mergeCell ref="A36:K36"/>
    <mergeCell ref="J38:K38"/>
    <mergeCell ref="H38:I38"/>
    <mergeCell ref="J49:K49"/>
    <mergeCell ref="H49:I49"/>
    <mergeCell ref="J102:K102"/>
    <mergeCell ref="H102:I102"/>
    <mergeCell ref="A102:G102"/>
    <mergeCell ref="A106:K106"/>
    <mergeCell ref="J113:K113"/>
    <mergeCell ref="H113:I113"/>
    <mergeCell ref="J73:K73"/>
    <mergeCell ref="H73:I73"/>
    <mergeCell ref="J86:K86"/>
    <mergeCell ref="H86:I86"/>
    <mergeCell ref="J99:K99"/>
    <mergeCell ref="H99:I99"/>
    <mergeCell ref="J137:K137"/>
    <mergeCell ref="H137:I137"/>
    <mergeCell ref="J150:K150"/>
    <mergeCell ref="H150:I150"/>
    <mergeCell ref="J162:K162"/>
    <mergeCell ref="H162:I162"/>
    <mergeCell ref="J120:K120"/>
    <mergeCell ref="H120:I120"/>
    <mergeCell ref="J128:K128"/>
    <mergeCell ref="H128:I128"/>
    <mergeCell ref="J133:K133"/>
    <mergeCell ref="H133:I133"/>
    <mergeCell ref="A192:G192"/>
    <mergeCell ref="A196:K196"/>
    <mergeCell ref="J198:K198"/>
    <mergeCell ref="H198:I198"/>
    <mergeCell ref="J209:K209"/>
    <mergeCell ref="H209:I209"/>
    <mergeCell ref="J176:K176"/>
    <mergeCell ref="H176:I176"/>
    <mergeCell ref="J189:K189"/>
    <mergeCell ref="H189:I189"/>
    <mergeCell ref="J192:K192"/>
    <mergeCell ref="H192:I192"/>
    <mergeCell ref="J241:K241"/>
    <mergeCell ref="H241:I241"/>
    <mergeCell ref="J245:K245"/>
    <mergeCell ref="H245:I245"/>
    <mergeCell ref="J257:K257"/>
    <mergeCell ref="H257:I257"/>
    <mergeCell ref="J217:K217"/>
    <mergeCell ref="H217:I217"/>
    <mergeCell ref="J228:K228"/>
    <mergeCell ref="H228:I228"/>
    <mergeCell ref="J236:K236"/>
    <mergeCell ref="H236:I236"/>
    <mergeCell ref="A279:G279"/>
    <mergeCell ref="J283:K283"/>
    <mergeCell ref="H283:I283"/>
    <mergeCell ref="A283:G283"/>
    <mergeCell ref="C286:G286"/>
    <mergeCell ref="H286:I286"/>
    <mergeCell ref="J286:K286"/>
    <mergeCell ref="J266:K266"/>
    <mergeCell ref="H266:I266"/>
    <mergeCell ref="J276:K276"/>
    <mergeCell ref="H276:I276"/>
    <mergeCell ref="J279:K279"/>
    <mergeCell ref="H279:I279"/>
    <mergeCell ref="A293:B293"/>
    <mergeCell ref="H293:K293"/>
    <mergeCell ref="C294:G294"/>
    <mergeCell ref="C287:G287"/>
    <mergeCell ref="H287:I287"/>
    <mergeCell ref="J287:K287"/>
    <mergeCell ref="A290:B290"/>
    <mergeCell ref="H290:K290"/>
    <mergeCell ref="C291:G291"/>
  </mergeCells>
  <pageMargins left="0.4" right="0.2" top="0.2" bottom="0.4" header="0.2" footer="0.2"/>
  <pageSetup paperSize="9" scale="71" fitToHeight="0" orientation="portrait" r:id="rId1"/>
  <headerFooter>
    <oddHeader>&amp;L&amp;8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30"/>
  <sheetViews>
    <sheetView workbookViewId="0"/>
  </sheetViews>
  <sheetFormatPr defaultRowHeight="12.75" x14ac:dyDescent="0.2"/>
  <sheetData>
    <row r="1" spans="1:24" x14ac:dyDescent="0.2">
      <c r="A1" t="s">
        <v>418</v>
      </c>
      <c r="B1" t="s">
        <v>419</v>
      </c>
      <c r="C1" t="s">
        <v>420</v>
      </c>
      <c r="D1" t="s">
        <v>421</v>
      </c>
      <c r="E1" t="s">
        <v>422</v>
      </c>
      <c r="F1" t="s">
        <v>423</v>
      </c>
      <c r="G1" t="s">
        <v>424</v>
      </c>
      <c r="H1" t="s">
        <v>425</v>
      </c>
      <c r="I1" t="s">
        <v>426</v>
      </c>
      <c r="J1" t="s">
        <v>427</v>
      </c>
      <c r="K1" t="s">
        <v>428</v>
      </c>
      <c r="L1" t="s">
        <v>429</v>
      </c>
    </row>
    <row r="2" spans="1:24" x14ac:dyDescent="0.2">
      <c r="A2">
        <v>1</v>
      </c>
      <c r="B2">
        <v>0</v>
      </c>
      <c r="C2">
        <v>0</v>
      </c>
      <c r="D2">
        <v>1</v>
      </c>
      <c r="E2">
        <v>1</v>
      </c>
      <c r="F2">
        <v>1</v>
      </c>
      <c r="G2">
        <v>1</v>
      </c>
      <c r="H2">
        <v>0</v>
      </c>
      <c r="I2">
        <v>1</v>
      </c>
      <c r="J2">
        <v>1</v>
      </c>
      <c r="K2">
        <v>1</v>
      </c>
      <c r="L2">
        <v>45748053</v>
      </c>
    </row>
    <row r="4" spans="1:24" x14ac:dyDescent="0.2">
      <c r="A4" t="s">
        <v>394</v>
      </c>
      <c r="B4" t="s">
        <v>395</v>
      </c>
      <c r="C4" t="s">
        <v>396</v>
      </c>
      <c r="D4" t="s">
        <v>397</v>
      </c>
      <c r="E4" t="s">
        <v>398</v>
      </c>
      <c r="F4" t="s">
        <v>399</v>
      </c>
      <c r="G4" t="s">
        <v>400</v>
      </c>
      <c r="H4" t="s">
        <v>401</v>
      </c>
      <c r="I4" t="s">
        <v>402</v>
      </c>
      <c r="J4" t="s">
        <v>403</v>
      </c>
      <c r="K4" t="s">
        <v>404</v>
      </c>
      <c r="L4" t="s">
        <v>405</v>
      </c>
      <c r="M4" t="s">
        <v>406</v>
      </c>
      <c r="N4" t="s">
        <v>407</v>
      </c>
      <c r="O4" t="s">
        <v>408</v>
      </c>
      <c r="P4" t="s">
        <v>409</v>
      </c>
      <c r="Q4" t="s">
        <v>410</v>
      </c>
      <c r="R4" t="s">
        <v>411</v>
      </c>
      <c r="S4" t="s">
        <v>412</v>
      </c>
      <c r="T4" t="s">
        <v>413</v>
      </c>
      <c r="U4" t="s">
        <v>414</v>
      </c>
      <c r="V4" t="s">
        <v>415</v>
      </c>
      <c r="W4" t="s">
        <v>416</v>
      </c>
      <c r="X4" t="s">
        <v>417</v>
      </c>
    </row>
    <row r="6" spans="1:24" x14ac:dyDescent="0.2">
      <c r="A6">
        <f>Source!A20</f>
        <v>3</v>
      </c>
      <c r="B6">
        <v>20</v>
      </c>
      <c r="G6" t="str">
        <f>Source!G20</f>
        <v>Новая локальная смета</v>
      </c>
    </row>
    <row r="7" spans="1:24" x14ac:dyDescent="0.2">
      <c r="A7">
        <f>Source!A24</f>
        <v>4</v>
      </c>
      <c r="B7">
        <v>24</v>
      </c>
      <c r="G7" t="str">
        <f>Source!G24</f>
        <v>Ремонт АБП</v>
      </c>
    </row>
    <row r="8" spans="1:24" x14ac:dyDescent="0.2">
      <c r="A8">
        <v>20</v>
      </c>
      <c r="B8">
        <v>21</v>
      </c>
      <c r="C8">
        <v>3</v>
      </c>
      <c r="D8">
        <v>0</v>
      </c>
      <c r="E8">
        <f>SmtRes!AV21</f>
        <v>0</v>
      </c>
      <c r="F8" t="str">
        <f>SmtRes!I21</f>
        <v>1.1-1-46</v>
      </c>
      <c r="G8" t="str">
        <f>SmtRes!K21</f>
        <v>Битумы нефтяные, дорожные жидкие, марка МГ, СГ</v>
      </c>
      <c r="H8" t="str">
        <f>SmtRes!O21</f>
        <v>т</v>
      </c>
      <c r="I8">
        <f>SmtRes!Y21*Source!I40</f>
        <v>7.1999999999999995E-2</v>
      </c>
      <c r="J8">
        <f>SmtRes!AO21</f>
        <v>1</v>
      </c>
      <c r="K8">
        <f>SmtRes!AE21</f>
        <v>3501.78</v>
      </c>
      <c r="L8">
        <f>SmtRes!DB21</f>
        <v>210.11</v>
      </c>
      <c r="M8">
        <f>ROUND(ROUND(L8*Source!I40, 6)*1, 2)</f>
        <v>252.13</v>
      </c>
      <c r="N8">
        <f>SmtRes!AA21</f>
        <v>3501.78</v>
      </c>
      <c r="O8">
        <f>ROUND(ROUND(L8*Source!I40, 6)*SmtRes!DA21, 2)</f>
        <v>252.13</v>
      </c>
      <c r="P8">
        <f>SmtRes!AG21</f>
        <v>0</v>
      </c>
      <c r="Q8">
        <f>SmtRes!DC21</f>
        <v>0</v>
      </c>
      <c r="R8">
        <f>ROUND(ROUND(Q8*Source!I40, 6)*1, 2)</f>
        <v>0</v>
      </c>
      <c r="S8">
        <f>SmtRes!AC21</f>
        <v>0</v>
      </c>
      <c r="T8">
        <f>ROUND(ROUND(Q8*Source!I40, 6)*SmtRes!AK21, 2)</f>
        <v>0</v>
      </c>
      <c r="U8">
        <f>SmtRes!X21</f>
        <v>435343267</v>
      </c>
      <c r="V8">
        <v>977557618</v>
      </c>
      <c r="W8">
        <v>977557618</v>
      </c>
      <c r="X8">
        <v>3</v>
      </c>
    </row>
    <row r="9" spans="1:24" x14ac:dyDescent="0.2">
      <c r="A9">
        <f>Source!A42</f>
        <v>18</v>
      </c>
      <c r="B9">
        <v>42</v>
      </c>
      <c r="C9">
        <v>3</v>
      </c>
      <c r="D9">
        <f>Source!BI42</f>
        <v>1</v>
      </c>
      <c r="E9">
        <f>Source!FS42</f>
        <v>0</v>
      </c>
      <c r="F9" t="str">
        <f>Source!F42</f>
        <v>1.3-3-4</v>
      </c>
      <c r="G9" t="str">
        <f>Source!G42</f>
        <v>Смеси асфальтобетонные дорожные горячие крупнозернистые, тип II</v>
      </c>
      <c r="H9" t="str">
        <f>Source!H42</f>
        <v>т</v>
      </c>
      <c r="I9">
        <f>Source!I42</f>
        <v>14.268000000000001</v>
      </c>
      <c r="J9">
        <v>1</v>
      </c>
      <c r="K9">
        <f>Source!AC42</f>
        <v>305.75</v>
      </c>
      <c r="M9">
        <f>ROUND(K9*I9, 2)</f>
        <v>4362.4399999999996</v>
      </c>
      <c r="N9">
        <f>Source!AC42*IF(Source!BC42&lt;&gt; 0, Source!BC42, 1)</f>
        <v>305.75</v>
      </c>
      <c r="O9">
        <f>ROUND(N9*I9, 2)</f>
        <v>4362.4399999999996</v>
      </c>
      <c r="P9">
        <f>Source!AE42</f>
        <v>0</v>
      </c>
      <c r="R9">
        <f>ROUND(P9*I9, 2)</f>
        <v>0</v>
      </c>
      <c r="S9">
        <f>Source!AE42*IF(Source!BS42&lt;&gt; 0, Source!BS42, 1)</f>
        <v>0</v>
      </c>
      <c r="T9">
        <f>ROUND(S9*I9, 2)</f>
        <v>0</v>
      </c>
      <c r="U9">
        <f>Source!GF42</f>
        <v>-2137020924</v>
      </c>
      <c r="V9">
        <v>641113410</v>
      </c>
      <c r="W9">
        <v>641113410</v>
      </c>
      <c r="X9">
        <v>3</v>
      </c>
    </row>
    <row r="10" spans="1:24" x14ac:dyDescent="0.2">
      <c r="A10">
        <v>20</v>
      </c>
      <c r="B10">
        <v>29</v>
      </c>
      <c r="C10">
        <v>3</v>
      </c>
      <c r="D10">
        <v>0</v>
      </c>
      <c r="E10">
        <f>SmtRes!AV29</f>
        <v>0</v>
      </c>
      <c r="F10" t="str">
        <f>SmtRes!I29</f>
        <v>1.1-1-46</v>
      </c>
      <c r="G10" t="str">
        <f>SmtRes!K29</f>
        <v>Битумы нефтяные, дорожные жидкие, марка МГ, СГ</v>
      </c>
      <c r="H10" t="str">
        <f>SmtRes!O29</f>
        <v>т</v>
      </c>
      <c r="I10">
        <f>SmtRes!Y29*Source!I44</f>
        <v>7.1999999999999995E-2</v>
      </c>
      <c r="J10">
        <f>SmtRes!AO29</f>
        <v>1</v>
      </c>
      <c r="K10">
        <f>SmtRes!AE29</f>
        <v>3501.78</v>
      </c>
      <c r="L10">
        <f>SmtRes!DB29</f>
        <v>210.11</v>
      </c>
      <c r="M10">
        <f>ROUND(ROUND(L10*Source!I44, 6)*1, 2)</f>
        <v>252.13</v>
      </c>
      <c r="N10">
        <f>SmtRes!AA29</f>
        <v>3501.78</v>
      </c>
      <c r="O10">
        <f>ROUND(ROUND(L10*Source!I44, 6)*SmtRes!DA29, 2)</f>
        <v>252.13</v>
      </c>
      <c r="P10">
        <f>SmtRes!AG29</f>
        <v>0</v>
      </c>
      <c r="Q10">
        <f>SmtRes!DC29</f>
        <v>0</v>
      </c>
      <c r="R10">
        <f>ROUND(ROUND(Q10*Source!I44, 6)*1, 2)</f>
        <v>0</v>
      </c>
      <c r="S10">
        <f>SmtRes!AC29</f>
        <v>0</v>
      </c>
      <c r="T10">
        <f>ROUND(ROUND(Q10*Source!I44, 6)*SmtRes!AK29, 2)</f>
        <v>0</v>
      </c>
      <c r="U10">
        <f>SmtRes!X29</f>
        <v>435343267</v>
      </c>
      <c r="V10">
        <v>977557618</v>
      </c>
      <c r="W10">
        <v>977557618</v>
      </c>
      <c r="X10">
        <v>3</v>
      </c>
    </row>
    <row r="11" spans="1:24" x14ac:dyDescent="0.2">
      <c r="A11">
        <f>Source!A46</f>
        <v>18</v>
      </c>
      <c r="B11">
        <v>46</v>
      </c>
      <c r="C11">
        <v>3</v>
      </c>
      <c r="D11">
        <f>Source!BI46</f>
        <v>1</v>
      </c>
      <c r="E11">
        <f>Source!FS46</f>
        <v>0</v>
      </c>
      <c r="F11" t="str">
        <f>Source!F46</f>
        <v>1.3-3-11</v>
      </c>
      <c r="G11" t="str">
        <f>Source!G46</f>
        <v>Смеси асфальтобетонные дорожные горячие песчаные, тип Д, марка III/  тип Д, марка II</v>
      </c>
      <c r="H11" t="str">
        <f>Source!H46</f>
        <v>т</v>
      </c>
      <c r="I11">
        <f>Source!I46</f>
        <v>14.28</v>
      </c>
      <c r="J11">
        <v>1</v>
      </c>
      <c r="K11">
        <f>Source!AC46</f>
        <v>301.52</v>
      </c>
      <c r="M11">
        <f>ROUND(K11*I11, 2)</f>
        <v>4305.71</v>
      </c>
      <c r="N11">
        <f>Source!AC46*IF(Source!BC46&lt;&gt; 0, Source!BC46, 1)</f>
        <v>301.52</v>
      </c>
      <c r="O11">
        <f>ROUND(N11*I11, 2)</f>
        <v>4305.71</v>
      </c>
      <c r="P11">
        <f>Source!AE46</f>
        <v>0</v>
      </c>
      <c r="R11">
        <f>ROUND(P11*I11, 2)</f>
        <v>0</v>
      </c>
      <c r="S11">
        <f>Source!AE46*IF(Source!BS46&lt;&gt; 0, Source!BS46, 1)</f>
        <v>0</v>
      </c>
      <c r="T11">
        <f>ROUND(S11*I11, 2)</f>
        <v>0</v>
      </c>
      <c r="U11">
        <f>Source!GF46</f>
        <v>981832165</v>
      </c>
      <c r="V11">
        <v>-232738215</v>
      </c>
      <c r="W11">
        <v>-232738215</v>
      </c>
      <c r="X11">
        <v>3</v>
      </c>
    </row>
    <row r="12" spans="1:24" x14ac:dyDescent="0.2">
      <c r="A12">
        <f>Source!A79</f>
        <v>4</v>
      </c>
      <c r="B12">
        <v>79</v>
      </c>
      <c r="G12" t="str">
        <f>Source!G79</f>
        <v>Замена бортового гранитного камня</v>
      </c>
    </row>
    <row r="13" spans="1:24" x14ac:dyDescent="0.2">
      <c r="A13">
        <v>20</v>
      </c>
      <c r="B13">
        <v>51</v>
      </c>
      <c r="C13">
        <v>3</v>
      </c>
      <c r="D13">
        <v>0</v>
      </c>
      <c r="E13">
        <f>SmtRes!AV51</f>
        <v>0</v>
      </c>
      <c r="F13" t="str">
        <f>SmtRes!I51</f>
        <v>1.1-1-118</v>
      </c>
      <c r="G13" t="str">
        <f>SmtRes!K51</f>
        <v>Вода</v>
      </c>
      <c r="H13" t="str">
        <f>SmtRes!O51</f>
        <v>м3</v>
      </c>
      <c r="I13">
        <f>SmtRes!Y51*Source!I93</f>
        <v>0.17850000000000002</v>
      </c>
      <c r="J13">
        <f>SmtRes!AO51</f>
        <v>1</v>
      </c>
      <c r="K13">
        <f>SmtRes!AE51</f>
        <v>7.07</v>
      </c>
      <c r="L13">
        <f>SmtRes!DB51</f>
        <v>35.35</v>
      </c>
      <c r="M13">
        <f>ROUND(ROUND(L13*Source!I93, 6)*1, 2)</f>
        <v>1.26</v>
      </c>
      <c r="N13">
        <f>SmtRes!AA51</f>
        <v>7.07</v>
      </c>
      <c r="O13">
        <f>ROUND(ROUND(L13*Source!I93, 6)*SmtRes!DA51, 2)</f>
        <v>1.26</v>
      </c>
      <c r="P13">
        <f>SmtRes!AG51</f>
        <v>0</v>
      </c>
      <c r="Q13">
        <f>SmtRes!DC51</f>
        <v>0</v>
      </c>
      <c r="R13">
        <f>ROUND(ROUND(Q13*Source!I93, 6)*1, 2)</f>
        <v>0</v>
      </c>
      <c r="S13">
        <f>SmtRes!AC51</f>
        <v>0</v>
      </c>
      <c r="T13">
        <f>ROUND(ROUND(Q13*Source!I93, 6)*SmtRes!AK51, 2)</f>
        <v>0</v>
      </c>
      <c r="U13">
        <f>SmtRes!X51</f>
        <v>-862991314</v>
      </c>
      <c r="V13">
        <v>209219300</v>
      </c>
      <c r="W13">
        <v>209219300</v>
      </c>
      <c r="X13">
        <v>3</v>
      </c>
    </row>
    <row r="14" spans="1:24" x14ac:dyDescent="0.2">
      <c r="A14">
        <f>Source!A95</f>
        <v>18</v>
      </c>
      <c r="B14">
        <v>95</v>
      </c>
      <c r="C14">
        <v>3</v>
      </c>
      <c r="D14">
        <f>Source!BI95</f>
        <v>1</v>
      </c>
      <c r="E14">
        <f>Source!FS95</f>
        <v>0</v>
      </c>
      <c r="F14" t="str">
        <f>Source!F95</f>
        <v>1.1-1-766</v>
      </c>
      <c r="G14" t="str">
        <f>Source!G95</f>
        <v>Песок для строительных работ, рядовой</v>
      </c>
      <c r="H14" t="str">
        <f>Source!H95</f>
        <v>м3</v>
      </c>
      <c r="I14">
        <f>Source!I95</f>
        <v>3.9270000000000005</v>
      </c>
      <c r="J14">
        <v>1</v>
      </c>
      <c r="K14">
        <f>Source!AC95</f>
        <v>104.99</v>
      </c>
      <c r="M14">
        <f>ROUND(K14*I14, 2)</f>
        <v>412.3</v>
      </c>
      <c r="N14">
        <f>Source!AC95*IF(Source!BC95&lt;&gt; 0, Source!BC95, 1)</f>
        <v>104.99</v>
      </c>
      <c r="O14">
        <f>ROUND(N14*I14, 2)</f>
        <v>412.3</v>
      </c>
      <c r="P14">
        <f>Source!AE95</f>
        <v>0</v>
      </c>
      <c r="R14">
        <f>ROUND(P14*I14, 2)</f>
        <v>0</v>
      </c>
      <c r="S14">
        <f>Source!AE95*IF(Source!BS95&lt;&gt; 0, Source!BS95, 1)</f>
        <v>0</v>
      </c>
      <c r="T14">
        <f>ROUND(S14*I14, 2)</f>
        <v>0</v>
      </c>
      <c r="U14">
        <f>Source!GF95</f>
        <v>2069056849</v>
      </c>
      <c r="V14">
        <v>464578271</v>
      </c>
      <c r="W14">
        <v>464578271</v>
      </c>
      <c r="X14">
        <v>3</v>
      </c>
    </row>
    <row r="15" spans="1:24" x14ac:dyDescent="0.2">
      <c r="A15">
        <v>20</v>
      </c>
      <c r="B15">
        <v>66</v>
      </c>
      <c r="C15">
        <v>3</v>
      </c>
      <c r="D15">
        <v>0</v>
      </c>
      <c r="E15">
        <f>SmtRes!AV66</f>
        <v>0</v>
      </c>
      <c r="F15" t="str">
        <f>SmtRes!I66</f>
        <v>9999990006</v>
      </c>
      <c r="G15" t="str">
        <f>SmtRes!K66</f>
        <v>Стоимость прочих материалов (ЭСН)</v>
      </c>
      <c r="H15" t="str">
        <f>SmtRes!O66</f>
        <v>руб.</v>
      </c>
      <c r="I15">
        <f>SmtRes!Y66*Source!I97</f>
        <v>118.66680000000001</v>
      </c>
      <c r="J15">
        <f>SmtRes!AO66</f>
        <v>1</v>
      </c>
      <c r="K15">
        <f>SmtRes!AE66</f>
        <v>1</v>
      </c>
      <c r="L15">
        <f>SmtRes!DB66</f>
        <v>116.34</v>
      </c>
      <c r="M15">
        <f>ROUND(ROUND(L15*Source!I97, 6)*1, 2)</f>
        <v>118.67</v>
      </c>
      <c r="N15">
        <f>SmtRes!AA66</f>
        <v>1</v>
      </c>
      <c r="O15">
        <f>ROUND(ROUND(L15*Source!I97, 6)*SmtRes!DA66, 2)</f>
        <v>118.67</v>
      </c>
      <c r="P15">
        <f>SmtRes!AG66</f>
        <v>0</v>
      </c>
      <c r="Q15">
        <f>SmtRes!DC66</f>
        <v>0</v>
      </c>
      <c r="R15">
        <f>ROUND(ROUND(Q15*Source!I97, 6)*1, 2)</f>
        <v>0</v>
      </c>
      <c r="S15">
        <f>SmtRes!AC66</f>
        <v>0</v>
      </c>
      <c r="T15">
        <f>ROUND(ROUND(Q15*Source!I97, 6)*SmtRes!AK66, 2)</f>
        <v>0</v>
      </c>
      <c r="U15">
        <f>SmtRes!X66</f>
        <v>-94250534</v>
      </c>
      <c r="V15">
        <v>-1341645062</v>
      </c>
      <c r="W15">
        <v>-1341645062</v>
      </c>
      <c r="X15">
        <v>3</v>
      </c>
    </row>
    <row r="16" spans="1:24" x14ac:dyDescent="0.2">
      <c r="A16">
        <v>20</v>
      </c>
      <c r="B16">
        <v>65</v>
      </c>
      <c r="C16">
        <v>3</v>
      </c>
      <c r="D16">
        <v>0</v>
      </c>
      <c r="E16">
        <f>SmtRes!AV65</f>
        <v>0</v>
      </c>
      <c r="F16" t="str">
        <f>SmtRes!I65</f>
        <v>1.3-2-5</v>
      </c>
      <c r="G16" t="str">
        <f>SmtRes!K65</f>
        <v>Растворы цементные, марка 100</v>
      </c>
      <c r="H16" t="str">
        <f>SmtRes!O65</f>
        <v>м3</v>
      </c>
      <c r="I16">
        <f>SmtRes!Y65*Source!I97</f>
        <v>6.1199999999999997E-2</v>
      </c>
      <c r="J16">
        <f>SmtRes!AO65</f>
        <v>1</v>
      </c>
      <c r="K16">
        <f>SmtRes!AE65</f>
        <v>451.14</v>
      </c>
      <c r="L16">
        <f>SmtRes!DB65</f>
        <v>27.07</v>
      </c>
      <c r="M16">
        <f>ROUND(ROUND(L16*Source!I97, 6)*1, 2)</f>
        <v>27.61</v>
      </c>
      <c r="N16">
        <f>SmtRes!AA65</f>
        <v>451.14</v>
      </c>
      <c r="O16">
        <f>ROUND(ROUND(L16*Source!I97, 6)*SmtRes!DA65, 2)</f>
        <v>27.61</v>
      </c>
      <c r="P16">
        <f>SmtRes!AG65</f>
        <v>0</v>
      </c>
      <c r="Q16">
        <f>SmtRes!DC65</f>
        <v>0</v>
      </c>
      <c r="R16">
        <f>ROUND(ROUND(Q16*Source!I97, 6)*1, 2)</f>
        <v>0</v>
      </c>
      <c r="S16">
        <f>SmtRes!AC65</f>
        <v>0</v>
      </c>
      <c r="T16">
        <f>ROUND(ROUND(Q16*Source!I97, 6)*SmtRes!AK65, 2)</f>
        <v>0</v>
      </c>
      <c r="U16">
        <f>SmtRes!X65</f>
        <v>-718781615</v>
      </c>
      <c r="V16">
        <v>-1804029654</v>
      </c>
      <c r="W16">
        <v>-1804029654</v>
      </c>
      <c r="X16">
        <v>3</v>
      </c>
    </row>
    <row r="17" spans="1:24" x14ac:dyDescent="0.2">
      <c r="A17">
        <v>20</v>
      </c>
      <c r="B17">
        <v>64</v>
      </c>
      <c r="C17">
        <v>3</v>
      </c>
      <c r="D17">
        <v>0</v>
      </c>
      <c r="E17">
        <f>SmtRes!AV64</f>
        <v>0</v>
      </c>
      <c r="F17" t="str">
        <f>SmtRes!I64</f>
        <v>1.3-1-38</v>
      </c>
      <c r="G17" t="str">
        <f>SmtRes!K64</f>
        <v>Смеси бетонные, БСГ, тяжелого бетона на гранитном щебне, класс прочности В15 (М200); П3, фракция 5-20, F50-100, W0-2</v>
      </c>
      <c r="H17" t="str">
        <f>SmtRes!O64</f>
        <v>м3</v>
      </c>
      <c r="I17">
        <f>SmtRes!Y64*Source!I97</f>
        <v>6.0180000000000007</v>
      </c>
      <c r="J17">
        <f>SmtRes!AO64</f>
        <v>1</v>
      </c>
      <c r="K17">
        <f>SmtRes!AE64</f>
        <v>704.89</v>
      </c>
      <c r="L17">
        <f>SmtRes!DB64</f>
        <v>4158.8500000000004</v>
      </c>
      <c r="M17">
        <f>ROUND(ROUND(L17*Source!I97, 6)*1, 2)</f>
        <v>4242.03</v>
      </c>
      <c r="N17">
        <f>SmtRes!AA64</f>
        <v>704.89</v>
      </c>
      <c r="O17">
        <f>ROUND(ROUND(L17*Source!I97, 6)*SmtRes!DA64, 2)</f>
        <v>4242.03</v>
      </c>
      <c r="P17">
        <f>SmtRes!AG64</f>
        <v>0</v>
      </c>
      <c r="Q17">
        <f>SmtRes!DC64</f>
        <v>0</v>
      </c>
      <c r="R17">
        <f>ROUND(ROUND(Q17*Source!I97, 6)*1, 2)</f>
        <v>0</v>
      </c>
      <c r="S17">
        <f>SmtRes!AC64</f>
        <v>0</v>
      </c>
      <c r="T17">
        <f>ROUND(ROUND(Q17*Source!I97, 6)*SmtRes!AK64, 2)</f>
        <v>0</v>
      </c>
      <c r="U17">
        <f>SmtRes!X64</f>
        <v>-758282629</v>
      </c>
      <c r="V17">
        <v>786719351</v>
      </c>
      <c r="W17">
        <v>786719351</v>
      </c>
      <c r="X17">
        <v>3</v>
      </c>
    </row>
    <row r="18" spans="1:24" x14ac:dyDescent="0.2">
      <c r="A18">
        <f>Source!A99</f>
        <v>18</v>
      </c>
      <c r="B18">
        <v>99</v>
      </c>
      <c r="C18">
        <v>3</v>
      </c>
      <c r="D18">
        <f>Source!BI99</f>
        <v>1</v>
      </c>
      <c r="E18">
        <f>Source!FS99</f>
        <v>0</v>
      </c>
      <c r="F18" t="str">
        <f>Source!F99</f>
        <v>1.11-4-23</v>
      </c>
      <c r="G18" t="str">
        <f>Source!G99</f>
        <v>Камни бортовые из гранита серого цвета, пиленые, сечение 300х150 мм</v>
      </c>
      <c r="H18" t="str">
        <f>Source!H99</f>
        <v>м</v>
      </c>
      <c r="I18">
        <f>Source!I99</f>
        <v>102</v>
      </c>
      <c r="J18">
        <v>1</v>
      </c>
      <c r="K18">
        <f>Source!AC99</f>
        <v>1104.55</v>
      </c>
      <c r="M18">
        <f>ROUND(K18*I18, 2)</f>
        <v>112664.1</v>
      </c>
      <c r="N18">
        <f>Source!AC99*IF(Source!BC99&lt;&gt; 0, Source!BC99, 1)</f>
        <v>1104.55</v>
      </c>
      <c r="O18">
        <f>ROUND(N18*I18, 2)</f>
        <v>112664.1</v>
      </c>
      <c r="P18">
        <f>Source!AE99</f>
        <v>0</v>
      </c>
      <c r="R18">
        <f>ROUND(P18*I18, 2)</f>
        <v>0</v>
      </c>
      <c r="S18">
        <f>Source!AE99*IF(Source!BS99&lt;&gt; 0, Source!BS99, 1)</f>
        <v>0</v>
      </c>
      <c r="T18">
        <f>ROUND(S18*I18, 2)</f>
        <v>0</v>
      </c>
      <c r="U18">
        <f>Source!GF99</f>
        <v>1901670477</v>
      </c>
      <c r="V18">
        <v>-27431577</v>
      </c>
      <c r="W18">
        <v>-27431577</v>
      </c>
      <c r="X18">
        <v>3</v>
      </c>
    </row>
    <row r="19" spans="1:24" x14ac:dyDescent="0.2">
      <c r="A19">
        <v>20</v>
      </c>
      <c r="B19">
        <v>78</v>
      </c>
      <c r="C19">
        <v>3</v>
      </c>
      <c r="D19">
        <v>0</v>
      </c>
      <c r="E19">
        <f>SmtRes!AV78</f>
        <v>0</v>
      </c>
      <c r="F19" t="str">
        <f>SmtRes!I78</f>
        <v>9999990006</v>
      </c>
      <c r="G19" t="str">
        <f>SmtRes!K78</f>
        <v>Стоимость прочих материалов (ЭСН)</v>
      </c>
      <c r="H19" t="str">
        <f>SmtRes!O78</f>
        <v>руб.</v>
      </c>
      <c r="I19">
        <f>SmtRes!Y78*Source!I101</f>
        <v>0.61199999999999999</v>
      </c>
      <c r="J19">
        <f>SmtRes!AO78</f>
        <v>1</v>
      </c>
      <c r="K19">
        <f>SmtRes!AE78</f>
        <v>1</v>
      </c>
      <c r="L19">
        <f>SmtRes!DB78</f>
        <v>3</v>
      </c>
      <c r="M19">
        <f>ROUND(ROUND(L19*Source!I101, 6)*1, 2)</f>
        <v>0.61</v>
      </c>
      <c r="N19">
        <f>SmtRes!AA78</f>
        <v>1</v>
      </c>
      <c r="O19">
        <f>ROUND(ROUND(L19*Source!I101, 6)*SmtRes!DA78, 2)</f>
        <v>0.61</v>
      </c>
      <c r="P19">
        <f>SmtRes!AG78</f>
        <v>0</v>
      </c>
      <c r="Q19">
        <f>SmtRes!DC78</f>
        <v>0</v>
      </c>
      <c r="R19">
        <f>ROUND(ROUND(Q19*Source!I101, 6)*1, 2)</f>
        <v>0</v>
      </c>
      <c r="S19">
        <f>SmtRes!AC78</f>
        <v>0</v>
      </c>
      <c r="T19">
        <f>ROUND(ROUND(Q19*Source!I101, 6)*SmtRes!AK78, 2)</f>
        <v>0</v>
      </c>
      <c r="U19">
        <f>SmtRes!X78</f>
        <v>-94250534</v>
      </c>
      <c r="V19">
        <v>-1341645062</v>
      </c>
      <c r="W19">
        <v>-1341645062</v>
      </c>
      <c r="X19">
        <v>3</v>
      </c>
    </row>
    <row r="20" spans="1:24" x14ac:dyDescent="0.2">
      <c r="A20">
        <f>Source!A103</f>
        <v>18</v>
      </c>
      <c r="B20">
        <v>103</v>
      </c>
      <c r="C20">
        <v>3</v>
      </c>
      <c r="D20">
        <f>Source!BI103</f>
        <v>1</v>
      </c>
      <c r="E20">
        <f>Source!FS103</f>
        <v>0</v>
      </c>
      <c r="F20" t="str">
        <f>Source!F103</f>
        <v>1.11-1-268</v>
      </c>
      <c r="G20" t="str">
        <f>Source!G103</f>
        <v>Плиты облицовочные гранитные пиленые, толщина 90-100 мм, месторождение: Мансуровское/100х100х100</v>
      </c>
      <c r="H20" t="str">
        <f>Source!H103</f>
        <v>м2</v>
      </c>
      <c r="I20">
        <f>Source!I103</f>
        <v>36.72</v>
      </c>
      <c r="J20">
        <v>1</v>
      </c>
      <c r="K20">
        <f>Source!AC103</f>
        <v>4102.7759999999998</v>
      </c>
      <c r="M20">
        <f>ROUND(K20*I20, 2)</f>
        <v>150653.93</v>
      </c>
      <c r="N20">
        <f>Source!AC103*IF(Source!BC103&lt;&gt; 0, Source!BC103, 1)</f>
        <v>4102.7759999999998</v>
      </c>
      <c r="O20">
        <f>ROUND(N20*I20, 2)</f>
        <v>150653.93</v>
      </c>
      <c r="P20">
        <f>Source!AE103</f>
        <v>0</v>
      </c>
      <c r="R20">
        <f>ROUND(P20*I20, 2)</f>
        <v>0</v>
      </c>
      <c r="S20">
        <f>Source!AE103*IF(Source!BS103&lt;&gt; 0, Source!BS103, 1)</f>
        <v>0</v>
      </c>
      <c r="T20">
        <f>ROUND(S20*I20, 2)</f>
        <v>0</v>
      </c>
      <c r="U20">
        <f>Source!GF103</f>
        <v>-117340116</v>
      </c>
      <c r="V20">
        <v>440678526</v>
      </c>
      <c r="W20">
        <v>440678526</v>
      </c>
      <c r="X20">
        <v>3</v>
      </c>
    </row>
    <row r="21" spans="1:24" x14ac:dyDescent="0.2">
      <c r="A21">
        <f>Source!A105</f>
        <v>18</v>
      </c>
      <c r="B21">
        <v>105</v>
      </c>
      <c r="C21">
        <v>3</v>
      </c>
      <c r="D21">
        <f>Source!BI105</f>
        <v>1</v>
      </c>
      <c r="E21">
        <f>Source!FS105</f>
        <v>0</v>
      </c>
      <c r="F21" t="str">
        <f>Source!F105</f>
        <v>1.3-2-19</v>
      </c>
      <c r="G21" t="str">
        <f>Source!G105</f>
        <v>Смеси сухие монтажно-кладочные цементно-песчаные, В12,5 (М150), F100, крупность заполнителя не более 3,5 мм</v>
      </c>
      <c r="H21" t="str">
        <f>Source!H105</f>
        <v>т</v>
      </c>
      <c r="I21">
        <f>Source!I105</f>
        <v>2.04</v>
      </c>
      <c r="J21">
        <v>1</v>
      </c>
      <c r="K21">
        <f>Source!AC105</f>
        <v>470.47</v>
      </c>
      <c r="M21">
        <f>ROUND(K21*I21, 2)</f>
        <v>959.76</v>
      </c>
      <c r="N21">
        <f>Source!AC105*IF(Source!BC105&lt;&gt; 0, Source!BC105, 1)</f>
        <v>470.47</v>
      </c>
      <c r="O21">
        <f>ROUND(N21*I21, 2)</f>
        <v>959.76</v>
      </c>
      <c r="P21">
        <f>Source!AE105</f>
        <v>0</v>
      </c>
      <c r="R21">
        <f>ROUND(P21*I21, 2)</f>
        <v>0</v>
      </c>
      <c r="S21">
        <f>Source!AE105*IF(Source!BS105&lt;&gt; 0, Source!BS105, 1)</f>
        <v>0</v>
      </c>
      <c r="T21">
        <f>ROUND(S21*I21, 2)</f>
        <v>0</v>
      </c>
      <c r="U21">
        <f>Source!GF105</f>
        <v>-568000054</v>
      </c>
      <c r="V21">
        <v>1420038736</v>
      </c>
      <c r="W21">
        <v>1420038736</v>
      </c>
      <c r="X21">
        <v>3</v>
      </c>
    </row>
    <row r="22" spans="1:24" x14ac:dyDescent="0.2">
      <c r="A22">
        <v>20</v>
      </c>
      <c r="B22">
        <v>89</v>
      </c>
      <c r="C22">
        <v>3</v>
      </c>
      <c r="D22">
        <v>0</v>
      </c>
      <c r="E22">
        <f>SmtRes!AV89</f>
        <v>0</v>
      </c>
      <c r="F22" t="str">
        <f>SmtRes!I89</f>
        <v>9999990006</v>
      </c>
      <c r="G22" t="str">
        <f>SmtRes!K89</f>
        <v>Стоимость прочих материалов (ЭСН)</v>
      </c>
      <c r="H22" t="str">
        <f>SmtRes!O89</f>
        <v>руб.</v>
      </c>
      <c r="I22">
        <f>SmtRes!Y89*Source!I107</f>
        <v>0.22031999999999999</v>
      </c>
      <c r="J22">
        <f>SmtRes!AO89</f>
        <v>1</v>
      </c>
      <c r="K22">
        <f>SmtRes!AE89</f>
        <v>1</v>
      </c>
      <c r="L22">
        <f>SmtRes!DB89</f>
        <v>18</v>
      </c>
      <c r="M22">
        <f>ROUND(ROUND(L22*Source!I107, 6)*1, 2)</f>
        <v>0.22</v>
      </c>
      <c r="N22">
        <f>SmtRes!AA89</f>
        <v>1</v>
      </c>
      <c r="O22">
        <f>ROUND(ROUND(L22*Source!I107, 6)*SmtRes!DA89, 2)</f>
        <v>0.22</v>
      </c>
      <c r="P22">
        <f>SmtRes!AG89</f>
        <v>0</v>
      </c>
      <c r="Q22">
        <f>SmtRes!DC89</f>
        <v>0</v>
      </c>
      <c r="R22">
        <f>ROUND(ROUND(Q22*Source!I107, 6)*1, 2)</f>
        <v>0</v>
      </c>
      <c r="S22">
        <f>SmtRes!AC89</f>
        <v>0</v>
      </c>
      <c r="T22">
        <f>ROUND(ROUND(Q22*Source!I107, 6)*SmtRes!AK89, 2)</f>
        <v>0</v>
      </c>
      <c r="U22">
        <f>SmtRes!X89</f>
        <v>-94250534</v>
      </c>
      <c r="V22">
        <v>-1341645062</v>
      </c>
      <c r="W22">
        <v>-1341645062</v>
      </c>
      <c r="X22">
        <v>3</v>
      </c>
    </row>
    <row r="23" spans="1:24" x14ac:dyDescent="0.2">
      <c r="A23">
        <v>20</v>
      </c>
      <c r="B23">
        <v>87</v>
      </c>
      <c r="C23">
        <v>3</v>
      </c>
      <c r="D23">
        <v>0</v>
      </c>
      <c r="E23">
        <f>SmtRes!AV87</f>
        <v>0</v>
      </c>
      <c r="F23" t="str">
        <f>SmtRes!I87</f>
        <v>1.1-1-118</v>
      </c>
      <c r="G23" t="str">
        <f>SmtRes!K87</f>
        <v>Вода</v>
      </c>
      <c r="H23" t="str">
        <f>SmtRes!O87</f>
        <v>м3</v>
      </c>
      <c r="I23">
        <f>SmtRes!Y87*Source!I107</f>
        <v>3.6719999999999995E-3</v>
      </c>
      <c r="J23">
        <f>SmtRes!AO87</f>
        <v>1</v>
      </c>
      <c r="K23">
        <f>SmtRes!AE87</f>
        <v>7.07</v>
      </c>
      <c r="L23">
        <f>SmtRes!DB87</f>
        <v>2.12</v>
      </c>
      <c r="M23">
        <f>ROUND(ROUND(L23*Source!I107, 6)*1, 2)</f>
        <v>0.03</v>
      </c>
      <c r="N23">
        <f>SmtRes!AA87</f>
        <v>7.07</v>
      </c>
      <c r="O23">
        <f>ROUND(ROUND(L23*Source!I107, 6)*SmtRes!DA87, 2)</f>
        <v>0.03</v>
      </c>
      <c r="P23">
        <f>SmtRes!AG87</f>
        <v>0</v>
      </c>
      <c r="Q23">
        <f>SmtRes!DC87</f>
        <v>0</v>
      </c>
      <c r="R23">
        <f>ROUND(ROUND(Q23*Source!I107, 6)*1, 2)</f>
        <v>0</v>
      </c>
      <c r="S23">
        <f>SmtRes!AC87</f>
        <v>0</v>
      </c>
      <c r="T23">
        <f>ROUND(ROUND(Q23*Source!I107, 6)*SmtRes!AK87, 2)</f>
        <v>0</v>
      </c>
      <c r="U23">
        <f>SmtRes!X87</f>
        <v>-862991314</v>
      </c>
      <c r="V23">
        <v>209219300</v>
      </c>
      <c r="W23">
        <v>209219300</v>
      </c>
      <c r="X23">
        <v>3</v>
      </c>
    </row>
    <row r="24" spans="1:24" x14ac:dyDescent="0.2">
      <c r="A24">
        <f>Source!A109</f>
        <v>18</v>
      </c>
      <c r="B24">
        <v>109</v>
      </c>
      <c r="C24">
        <v>3</v>
      </c>
      <c r="D24">
        <f>Source!BI109</f>
        <v>1</v>
      </c>
      <c r="E24">
        <f>Source!FS109</f>
        <v>0</v>
      </c>
      <c r="F24" t="str">
        <f>Source!F109</f>
        <v>1.7-3-75</v>
      </c>
      <c r="G24" t="str">
        <f>Source!G109</f>
        <v>Диск отрезной с алмазным покрытием, диаметр 230 мм, высота сегмента 7 мм</v>
      </c>
      <c r="H24" t="str">
        <f>Source!H109</f>
        <v>шт.</v>
      </c>
      <c r="I24">
        <f>Source!I109</f>
        <v>8.201E-3</v>
      </c>
      <c r="J24">
        <v>1</v>
      </c>
      <c r="K24">
        <f>Source!AC109</f>
        <v>437.82</v>
      </c>
      <c r="M24">
        <f>ROUND(K24*I24, 2)</f>
        <v>3.59</v>
      </c>
      <c r="N24">
        <f>Source!AC109*IF(Source!BC109&lt;&gt; 0, Source!BC109, 1)</f>
        <v>437.82</v>
      </c>
      <c r="O24">
        <f>ROUND(N24*I24, 2)</f>
        <v>3.59</v>
      </c>
      <c r="P24">
        <f>Source!AE109</f>
        <v>0</v>
      </c>
      <c r="R24">
        <f>ROUND(P24*I24, 2)</f>
        <v>0</v>
      </c>
      <c r="S24">
        <f>Source!AE109*IF(Source!BS109&lt;&gt; 0, Source!BS109, 1)</f>
        <v>0</v>
      </c>
      <c r="T24">
        <f>ROUND(S24*I24, 2)</f>
        <v>0</v>
      </c>
      <c r="U24">
        <f>Source!GF109</f>
        <v>-1816805806</v>
      </c>
      <c r="V24">
        <v>793912692</v>
      </c>
      <c r="W24">
        <v>793912692</v>
      </c>
      <c r="X24">
        <v>3</v>
      </c>
    </row>
    <row r="25" spans="1:24" x14ac:dyDescent="0.2">
      <c r="A25">
        <f>Source!A142</f>
        <v>4</v>
      </c>
      <c r="B25">
        <v>142</v>
      </c>
      <c r="G25" t="str">
        <f>Source!G142</f>
        <v>Устройство газона 15 см</v>
      </c>
    </row>
    <row r="26" spans="1:24" x14ac:dyDescent="0.2">
      <c r="A26">
        <f>Source!A162</f>
        <v>18</v>
      </c>
      <c r="B26">
        <v>162</v>
      </c>
      <c r="C26">
        <v>3</v>
      </c>
      <c r="D26">
        <f>Source!BI162</f>
        <v>1</v>
      </c>
      <c r="E26">
        <f>Source!FS162</f>
        <v>0</v>
      </c>
      <c r="F26" t="str">
        <f>Source!F162</f>
        <v>1.4-6-1</v>
      </c>
      <c r="G26" t="str">
        <f>Source!G162</f>
        <v>Земля растительная</v>
      </c>
      <c r="H26" t="str">
        <f>Source!H162</f>
        <v>м3</v>
      </c>
      <c r="I26">
        <f>Source!I162</f>
        <v>21.6</v>
      </c>
      <c r="J26">
        <v>1</v>
      </c>
      <c r="K26">
        <f>Source!AC162</f>
        <v>146.84</v>
      </c>
      <c r="M26">
        <f>ROUND(K26*I26, 2)</f>
        <v>3171.74</v>
      </c>
      <c r="N26">
        <f>Source!AC162*IF(Source!BC162&lt;&gt; 0, Source!BC162, 1)</f>
        <v>146.84</v>
      </c>
      <c r="O26">
        <f>ROUND(N26*I26, 2)</f>
        <v>3171.74</v>
      </c>
      <c r="P26">
        <f>Source!AE162</f>
        <v>0</v>
      </c>
      <c r="R26">
        <f>ROUND(P26*I26, 2)</f>
        <v>0</v>
      </c>
      <c r="S26">
        <f>Source!AE162*IF(Source!BS162&lt;&gt; 0, Source!BS162, 1)</f>
        <v>0</v>
      </c>
      <c r="T26">
        <f>ROUND(S26*I26, 2)</f>
        <v>0</v>
      </c>
      <c r="U26">
        <f>Source!GF162</f>
        <v>92320855</v>
      </c>
      <c r="V26">
        <v>-326285843</v>
      </c>
      <c r="W26">
        <v>-326285843</v>
      </c>
      <c r="X26">
        <v>3</v>
      </c>
    </row>
    <row r="27" spans="1:24" x14ac:dyDescent="0.2">
      <c r="A27">
        <f>Source!A166</f>
        <v>18</v>
      </c>
      <c r="B27">
        <v>166</v>
      </c>
      <c r="C27">
        <v>3</v>
      </c>
      <c r="D27">
        <f>Source!BI166</f>
        <v>1</v>
      </c>
      <c r="E27">
        <f>Source!FS166</f>
        <v>0</v>
      </c>
      <c r="F27" t="str">
        <f>Source!F166</f>
        <v>1.4-6-1</v>
      </c>
      <c r="G27" t="str">
        <f>Source!G166</f>
        <v>Земля растительная</v>
      </c>
      <c r="H27" t="str">
        <f>Source!H166</f>
        <v>м3</v>
      </c>
      <c r="I27">
        <f>Source!I166</f>
        <v>7.2</v>
      </c>
      <c r="J27">
        <v>1</v>
      </c>
      <c r="K27">
        <f>Source!AC166</f>
        <v>146.84</v>
      </c>
      <c r="M27">
        <f>ROUND(K27*I27, 2)</f>
        <v>1057.25</v>
      </c>
      <c r="N27">
        <f>Source!AC166*IF(Source!BC166&lt;&gt; 0, Source!BC166, 1)</f>
        <v>146.84</v>
      </c>
      <c r="O27">
        <f>ROUND(N27*I27, 2)</f>
        <v>1057.25</v>
      </c>
      <c r="P27">
        <f>Source!AE166</f>
        <v>0</v>
      </c>
      <c r="R27">
        <f>ROUND(P27*I27, 2)</f>
        <v>0</v>
      </c>
      <c r="S27">
        <f>Source!AE166*IF(Source!BS166&lt;&gt; 0, Source!BS166, 1)</f>
        <v>0</v>
      </c>
      <c r="T27">
        <f>ROUND(S27*I27, 2)</f>
        <v>0</v>
      </c>
      <c r="U27">
        <f>Source!GF166</f>
        <v>92320855</v>
      </c>
      <c r="V27">
        <v>-326285843</v>
      </c>
      <c r="W27">
        <v>-326285843</v>
      </c>
      <c r="X27">
        <v>3</v>
      </c>
    </row>
    <row r="28" spans="1:24" x14ac:dyDescent="0.2">
      <c r="A28">
        <v>20</v>
      </c>
      <c r="B28">
        <v>128</v>
      </c>
      <c r="C28">
        <v>3</v>
      </c>
      <c r="D28">
        <v>0</v>
      </c>
      <c r="E28">
        <f>SmtRes!AV128</f>
        <v>0</v>
      </c>
      <c r="F28" t="str">
        <f>SmtRes!I128</f>
        <v>1.1-1-118</v>
      </c>
      <c r="G28" t="str">
        <f>SmtRes!K128</f>
        <v>Вода</v>
      </c>
      <c r="H28" t="str">
        <f>SmtRes!O128</f>
        <v>м3</v>
      </c>
      <c r="I28">
        <f>SmtRes!Y128*Source!I168</f>
        <v>19.2</v>
      </c>
      <c r="J28">
        <f>SmtRes!AO128</f>
        <v>1</v>
      </c>
      <c r="K28">
        <f>SmtRes!AE128</f>
        <v>7.07</v>
      </c>
      <c r="L28">
        <f>SmtRes!DB128</f>
        <v>70.7</v>
      </c>
      <c r="M28">
        <f>ROUND(ROUND(L28*Source!I168, 6)*1, 2)</f>
        <v>135.74</v>
      </c>
      <c r="N28">
        <f>SmtRes!AA128</f>
        <v>7.07</v>
      </c>
      <c r="O28">
        <f>ROUND(ROUND(L28*Source!I168, 6)*SmtRes!DA128, 2)</f>
        <v>135.74</v>
      </c>
      <c r="P28">
        <f>SmtRes!AG128</f>
        <v>0</v>
      </c>
      <c r="Q28">
        <f>SmtRes!DC128</f>
        <v>0</v>
      </c>
      <c r="R28">
        <f>ROUND(ROUND(Q28*Source!I168, 6)*1, 2)</f>
        <v>0</v>
      </c>
      <c r="S28">
        <f>SmtRes!AC128</f>
        <v>0</v>
      </c>
      <c r="T28">
        <f>ROUND(ROUND(Q28*Source!I168, 6)*SmtRes!AK128, 2)</f>
        <v>0</v>
      </c>
      <c r="U28">
        <f>SmtRes!X128</f>
        <v>-862991314</v>
      </c>
      <c r="V28">
        <v>209219300</v>
      </c>
      <c r="W28">
        <v>209219300</v>
      </c>
      <c r="X28">
        <v>3</v>
      </c>
    </row>
    <row r="29" spans="1:24" x14ac:dyDescent="0.2">
      <c r="A29">
        <f>Source!A170</f>
        <v>18</v>
      </c>
      <c r="B29">
        <v>170</v>
      </c>
      <c r="C29">
        <v>3</v>
      </c>
      <c r="D29">
        <f>Source!BI170</f>
        <v>1</v>
      </c>
      <c r="E29">
        <f>Source!FS170</f>
        <v>0</v>
      </c>
      <c r="F29" t="str">
        <f>Source!F170</f>
        <v>1.4-6-6</v>
      </c>
      <c r="G29" t="str">
        <f>Source!G170</f>
        <v>Семена (смесь универсальная) газонных трав</v>
      </c>
      <c r="H29" t="str">
        <f>Source!H170</f>
        <v>кг</v>
      </c>
      <c r="I29">
        <f>Source!I170</f>
        <v>7.68</v>
      </c>
      <c r="J29">
        <v>1</v>
      </c>
      <c r="K29">
        <f>Source!AC170</f>
        <v>57.93</v>
      </c>
      <c r="M29">
        <f>ROUND(K29*I29, 2)</f>
        <v>444.9</v>
      </c>
      <c r="N29">
        <f>Source!AC170*IF(Source!BC170&lt;&gt; 0, Source!BC170, 1)</f>
        <v>57.93</v>
      </c>
      <c r="O29">
        <f>ROUND(N29*I29, 2)</f>
        <v>444.9</v>
      </c>
      <c r="P29">
        <f>Source!AE170</f>
        <v>0</v>
      </c>
      <c r="R29">
        <f>ROUND(P29*I29, 2)</f>
        <v>0</v>
      </c>
      <c r="S29">
        <f>Source!AE170*IF(Source!BS170&lt;&gt; 0, Source!BS170, 1)</f>
        <v>0</v>
      </c>
      <c r="T29">
        <f>ROUND(S29*I29, 2)</f>
        <v>0</v>
      </c>
      <c r="U29">
        <f>Source!GF170</f>
        <v>735025367</v>
      </c>
      <c r="V29">
        <v>797975201</v>
      </c>
      <c r="W29">
        <v>797975201</v>
      </c>
      <c r="X29">
        <v>3</v>
      </c>
    </row>
    <row r="30" spans="1:24" x14ac:dyDescent="0.2">
      <c r="A30">
        <v>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AK23"/>
  <sheetViews>
    <sheetView workbookViewId="0"/>
  </sheetViews>
  <sheetFormatPr defaultRowHeight="12.75" x14ac:dyDescent="0.2"/>
  <cols>
    <col min="1" max="1" width="12.7109375" customWidth="1"/>
    <col min="2" max="2" width="40.7109375" customWidth="1"/>
    <col min="3" max="6" width="12.7109375" customWidth="1"/>
    <col min="35" max="38" width="0" hidden="1" customWidth="1"/>
  </cols>
  <sheetData>
    <row r="2" spans="1:37" ht="16.5" x14ac:dyDescent="0.2">
      <c r="A2" s="88" t="s">
        <v>430</v>
      </c>
      <c r="B2" s="89"/>
      <c r="C2" s="89"/>
      <c r="D2" s="89"/>
      <c r="E2" s="89"/>
      <c r="F2" s="89"/>
    </row>
    <row r="3" spans="1:37" ht="16.5" x14ac:dyDescent="0.2">
      <c r="A3" s="88" t="str">
        <f>CONCATENATE("Объект: ",IF(Source!G235&lt;&gt;"Новый объект", Source!G235, ""))</f>
        <v>Объект: Ремонт АБП в Новослободском парке</v>
      </c>
      <c r="B3" s="89"/>
      <c r="C3" s="89"/>
      <c r="D3" s="89"/>
      <c r="E3" s="89"/>
      <c r="F3" s="89"/>
    </row>
    <row r="4" spans="1:37" x14ac:dyDescent="0.2">
      <c r="A4" s="90" t="s">
        <v>431</v>
      </c>
      <c r="B4" s="90" t="s">
        <v>432</v>
      </c>
      <c r="C4" s="90" t="s">
        <v>433</v>
      </c>
      <c r="D4" s="90" t="s">
        <v>434</v>
      </c>
      <c r="E4" s="93" t="s">
        <v>435</v>
      </c>
      <c r="F4" s="94"/>
    </row>
    <row r="5" spans="1:37" x14ac:dyDescent="0.2">
      <c r="A5" s="91"/>
      <c r="B5" s="91"/>
      <c r="C5" s="91"/>
      <c r="D5" s="91"/>
      <c r="E5" s="95"/>
      <c r="F5" s="96"/>
    </row>
    <row r="6" spans="1:37" ht="14.25" x14ac:dyDescent="0.2">
      <c r="A6" s="92"/>
      <c r="B6" s="92"/>
      <c r="C6" s="92"/>
      <c r="D6" s="92"/>
      <c r="E6" s="24" t="s">
        <v>436</v>
      </c>
      <c r="F6" s="24" t="s">
        <v>437</v>
      </c>
    </row>
    <row r="7" spans="1:37" ht="14.25" x14ac:dyDescent="0.2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</row>
    <row r="8" spans="1:37" ht="14.25" x14ac:dyDescent="0.2">
      <c r="A8" s="84" t="s">
        <v>438</v>
      </c>
      <c r="B8" s="85"/>
      <c r="C8" s="85"/>
      <c r="D8" s="85"/>
      <c r="E8" s="85"/>
      <c r="F8" s="85"/>
    </row>
    <row r="9" spans="1:37" ht="14.25" x14ac:dyDescent="0.2">
      <c r="A9" s="49" t="s">
        <v>300</v>
      </c>
      <c r="B9" s="50" t="s">
        <v>302</v>
      </c>
      <c r="C9" s="50" t="s">
        <v>150</v>
      </c>
      <c r="D9" s="51">
        <f>ROUND(SUMIF(RV_DATA!W6:'RV_DATA'!W29, 209219300, RV_DATA!I6:'RV_DATA'!I29), 6)</f>
        <v>19.382172000000001</v>
      </c>
      <c r="E9" s="52">
        <f>ROUND(RV_DATA!N13, 6)</f>
        <v>7.07</v>
      </c>
      <c r="F9" s="52">
        <f>ROUND(SUMIF(RV_DATA!W6:'RV_DATA'!W29, 209219300, RV_DATA!O6:'RV_DATA'!O29), 6)</f>
        <v>137.03</v>
      </c>
      <c r="AK9">
        <v>3</v>
      </c>
    </row>
    <row r="10" spans="1:37" ht="57" x14ac:dyDescent="0.2">
      <c r="A10" s="49" t="s">
        <v>172</v>
      </c>
      <c r="B10" s="50" t="s">
        <v>173</v>
      </c>
      <c r="C10" s="50" t="s">
        <v>17</v>
      </c>
      <c r="D10" s="51">
        <f>ROUND(SUMIF(RV_DATA!W6:'RV_DATA'!W29, 440678526, RV_DATA!I6:'RV_DATA'!I29), 6)</f>
        <v>36.72</v>
      </c>
      <c r="E10" s="52">
        <f>ROUND(RV_DATA!N20, 6)</f>
        <v>4102.7759999999998</v>
      </c>
      <c r="F10" s="52">
        <f>ROUND(SUMIF(RV_DATA!W6:'RV_DATA'!W29, 440678526, RV_DATA!O6:'RV_DATA'!O29), 6)</f>
        <v>150653.93</v>
      </c>
      <c r="AK10">
        <v>3</v>
      </c>
    </row>
    <row r="11" spans="1:37" ht="28.5" x14ac:dyDescent="0.2">
      <c r="A11" s="49" t="s">
        <v>160</v>
      </c>
      <c r="B11" s="50" t="s">
        <v>161</v>
      </c>
      <c r="C11" s="50" t="s">
        <v>162</v>
      </c>
      <c r="D11" s="51">
        <f>ROUND(SUMIF(RV_DATA!W6:'RV_DATA'!W29, -27431577, RV_DATA!I6:'RV_DATA'!I29), 6)</f>
        <v>102</v>
      </c>
      <c r="E11" s="52">
        <f>ROUND(RV_DATA!N18, 6)</f>
        <v>1104.55</v>
      </c>
      <c r="F11" s="52">
        <f>ROUND(SUMIF(RV_DATA!W6:'RV_DATA'!W29, -27431577, RV_DATA!O6:'RV_DATA'!O29), 6)</f>
        <v>112664.1</v>
      </c>
      <c r="AK11">
        <v>3</v>
      </c>
    </row>
    <row r="12" spans="1:37" ht="28.5" x14ac:dyDescent="0.2">
      <c r="A12" s="49" t="s">
        <v>285</v>
      </c>
      <c r="B12" s="50" t="s">
        <v>287</v>
      </c>
      <c r="C12" s="50" t="s">
        <v>44</v>
      </c>
      <c r="D12" s="51">
        <f>ROUND(SUMIF(RV_DATA!W6:'RV_DATA'!W29, 977557618, RV_DATA!I6:'RV_DATA'!I29), 6)</f>
        <v>0.14399999999999999</v>
      </c>
      <c r="E12" s="52">
        <f>ROUND(RV_DATA!N8, 6)</f>
        <v>3501.78</v>
      </c>
      <c r="F12" s="52">
        <f>ROUND(SUMIF(RV_DATA!W6:'RV_DATA'!W29, 977557618, RV_DATA!O6:'RV_DATA'!O29), 6)</f>
        <v>504.26</v>
      </c>
      <c r="AK12">
        <v>3</v>
      </c>
    </row>
    <row r="13" spans="1:37" ht="28.5" x14ac:dyDescent="0.2">
      <c r="A13" s="49" t="s">
        <v>148</v>
      </c>
      <c r="B13" s="50" t="s">
        <v>149</v>
      </c>
      <c r="C13" s="50" t="s">
        <v>150</v>
      </c>
      <c r="D13" s="51">
        <f>ROUND(SUMIF(RV_DATA!W6:'RV_DATA'!W29, 464578271, RV_DATA!I6:'RV_DATA'!I29), 6)</f>
        <v>3.927</v>
      </c>
      <c r="E13" s="52">
        <f>ROUND(RV_DATA!N14, 6)</f>
        <v>104.99</v>
      </c>
      <c r="F13" s="52">
        <f>ROUND(SUMIF(RV_DATA!W6:'RV_DATA'!W29, 464578271, RV_DATA!O6:'RV_DATA'!O29), 6)</f>
        <v>412.3</v>
      </c>
      <c r="AK13">
        <v>3</v>
      </c>
    </row>
    <row r="14" spans="1:37" ht="57" x14ac:dyDescent="0.2">
      <c r="A14" s="49" t="s">
        <v>306</v>
      </c>
      <c r="B14" s="50" t="s">
        <v>308</v>
      </c>
      <c r="C14" s="50" t="s">
        <v>150</v>
      </c>
      <c r="D14" s="51">
        <f>ROUND(SUMIF(RV_DATA!W6:'RV_DATA'!W29, 786719351, RV_DATA!I6:'RV_DATA'!I29), 6)</f>
        <v>6.0179999999999998</v>
      </c>
      <c r="E14" s="52">
        <f>ROUND(RV_DATA!N17, 6)</f>
        <v>704.89</v>
      </c>
      <c r="F14" s="52">
        <f>ROUND(SUMIF(RV_DATA!W6:'RV_DATA'!W29, 786719351, RV_DATA!O6:'RV_DATA'!O29), 6)</f>
        <v>4242.03</v>
      </c>
      <c r="AK14">
        <v>3</v>
      </c>
    </row>
    <row r="15" spans="1:37" ht="57" x14ac:dyDescent="0.2">
      <c r="A15" s="49" t="s">
        <v>177</v>
      </c>
      <c r="B15" s="50" t="s">
        <v>178</v>
      </c>
      <c r="C15" s="50" t="s">
        <v>44</v>
      </c>
      <c r="D15" s="51">
        <f>ROUND(SUMIF(RV_DATA!W6:'RV_DATA'!W29, 1420038736, RV_DATA!I6:'RV_DATA'!I29), 6)</f>
        <v>2.04</v>
      </c>
      <c r="E15" s="52">
        <f>ROUND(RV_DATA!N21, 6)</f>
        <v>470.47</v>
      </c>
      <c r="F15" s="52">
        <f>ROUND(SUMIF(RV_DATA!W6:'RV_DATA'!W29, 1420038736, RV_DATA!O6:'RV_DATA'!O29), 6)</f>
        <v>959.76</v>
      </c>
      <c r="AK15">
        <v>3</v>
      </c>
    </row>
    <row r="16" spans="1:37" ht="14.25" x14ac:dyDescent="0.2">
      <c r="A16" s="49" t="s">
        <v>309</v>
      </c>
      <c r="B16" s="50" t="s">
        <v>311</v>
      </c>
      <c r="C16" s="50" t="s">
        <v>150</v>
      </c>
      <c r="D16" s="51">
        <f>ROUND(SUMIF(RV_DATA!W6:'RV_DATA'!W29, -1804029654, RV_DATA!I6:'RV_DATA'!I29), 6)</f>
        <v>6.1199999999999997E-2</v>
      </c>
      <c r="E16" s="52">
        <f>ROUND(RV_DATA!N16, 6)</f>
        <v>451.14</v>
      </c>
      <c r="F16" s="52">
        <f>ROUND(SUMIF(RV_DATA!W6:'RV_DATA'!W29, -1804029654, RV_DATA!O6:'RV_DATA'!O29), 6)</f>
        <v>27.61</v>
      </c>
      <c r="AK16">
        <v>3</v>
      </c>
    </row>
    <row r="17" spans="1:37" ht="42.75" x14ac:dyDescent="0.2">
      <c r="A17" s="49" t="s">
        <v>70</v>
      </c>
      <c r="B17" s="50" t="s">
        <v>71</v>
      </c>
      <c r="C17" s="50" t="s">
        <v>44</v>
      </c>
      <c r="D17" s="51">
        <f>ROUND(SUMIF(RV_DATA!W6:'RV_DATA'!W29, -232738215, RV_DATA!I6:'RV_DATA'!I29), 6)</f>
        <v>14.28</v>
      </c>
      <c r="E17" s="52">
        <f>ROUND(RV_DATA!N11, 6)</f>
        <v>301.52</v>
      </c>
      <c r="F17" s="52">
        <f>ROUND(SUMIF(RV_DATA!W6:'RV_DATA'!W29, -232738215, RV_DATA!O6:'RV_DATA'!O29), 6)</f>
        <v>4305.71</v>
      </c>
      <c r="AK17">
        <v>3</v>
      </c>
    </row>
    <row r="18" spans="1:37" ht="28.5" x14ac:dyDescent="0.2">
      <c r="A18" s="49" t="s">
        <v>62</v>
      </c>
      <c r="B18" s="50" t="s">
        <v>63</v>
      </c>
      <c r="C18" s="50" t="s">
        <v>44</v>
      </c>
      <c r="D18" s="51">
        <f>ROUND(SUMIF(RV_DATA!W6:'RV_DATA'!W29, 641113410, RV_DATA!I6:'RV_DATA'!I29), 6)</f>
        <v>14.268000000000001</v>
      </c>
      <c r="E18" s="52">
        <f>ROUND(RV_DATA!N9, 6)</f>
        <v>305.75</v>
      </c>
      <c r="F18" s="52">
        <f>ROUND(SUMIF(RV_DATA!W6:'RV_DATA'!W29, 641113410, RV_DATA!O6:'RV_DATA'!O29), 6)</f>
        <v>4362.4399999999996</v>
      </c>
      <c r="AK18">
        <v>3</v>
      </c>
    </row>
    <row r="19" spans="1:37" ht="14.25" x14ac:dyDescent="0.2">
      <c r="A19" s="49" t="s">
        <v>234</v>
      </c>
      <c r="B19" s="50" t="s">
        <v>235</v>
      </c>
      <c r="C19" s="50" t="s">
        <v>150</v>
      </c>
      <c r="D19" s="51">
        <f>ROUND(SUMIF(RV_DATA!W6:'RV_DATA'!W29, -326285843, RV_DATA!I6:'RV_DATA'!I29), 6)</f>
        <v>28.8</v>
      </c>
      <c r="E19" s="52">
        <f>ROUND(RV_DATA!N26, 6)</f>
        <v>146.84</v>
      </c>
      <c r="F19" s="52">
        <f>ROUND(SUMIF(RV_DATA!W6:'RV_DATA'!W29, -326285843, RV_DATA!O6:'RV_DATA'!O29), 6)</f>
        <v>4228.99</v>
      </c>
      <c r="AK19">
        <v>3</v>
      </c>
    </row>
    <row r="20" spans="1:37" ht="28.5" x14ac:dyDescent="0.2">
      <c r="A20" s="49" t="s">
        <v>247</v>
      </c>
      <c r="B20" s="50" t="s">
        <v>248</v>
      </c>
      <c r="C20" s="50" t="s">
        <v>249</v>
      </c>
      <c r="D20" s="51">
        <f>ROUND(SUMIF(RV_DATA!W6:'RV_DATA'!W29, 797975201, RV_DATA!I6:'RV_DATA'!I29), 6)</f>
        <v>7.68</v>
      </c>
      <c r="E20" s="52">
        <f>ROUND(RV_DATA!N29, 6)</f>
        <v>57.93</v>
      </c>
      <c r="F20" s="52">
        <f>ROUND(SUMIF(RV_DATA!W6:'RV_DATA'!W29, 797975201, RV_DATA!O6:'RV_DATA'!O29), 6)</f>
        <v>444.9</v>
      </c>
      <c r="AK20">
        <v>3</v>
      </c>
    </row>
    <row r="21" spans="1:37" ht="28.5" x14ac:dyDescent="0.2">
      <c r="A21" s="49" t="s">
        <v>185</v>
      </c>
      <c r="B21" s="50" t="s">
        <v>186</v>
      </c>
      <c r="C21" s="50" t="s">
        <v>187</v>
      </c>
      <c r="D21" s="51">
        <f>ROUND(SUMIF(RV_DATA!W6:'RV_DATA'!W29, 793912692, RV_DATA!I6:'RV_DATA'!I29), 6)</f>
        <v>8.201E-3</v>
      </c>
      <c r="E21" s="52">
        <f>ROUND(RV_DATA!N24, 6)</f>
        <v>437.82</v>
      </c>
      <c r="F21" s="52">
        <f>ROUND(SUMIF(RV_DATA!W6:'RV_DATA'!W29, 793912692, RV_DATA!O6:'RV_DATA'!O29), 6)</f>
        <v>3.59</v>
      </c>
      <c r="AK21">
        <v>3</v>
      </c>
    </row>
    <row r="22" spans="1:37" ht="14.25" x14ac:dyDescent="0.2">
      <c r="A22" s="49" t="s">
        <v>312</v>
      </c>
      <c r="B22" s="50" t="s">
        <v>313</v>
      </c>
      <c r="C22" s="50" t="s">
        <v>278</v>
      </c>
      <c r="D22" s="51">
        <f>ROUND(SUMIF(RV_DATA!W6:'RV_DATA'!W29, -1341645062, RV_DATA!I6:'RV_DATA'!I29), 6)</f>
        <v>119.49912</v>
      </c>
      <c r="E22" s="52">
        <f>ROUND(RV_DATA!N15, 6)</f>
        <v>1</v>
      </c>
      <c r="F22" s="52">
        <f>ROUND(SUMIF(RV_DATA!W6:'RV_DATA'!W29, -1341645062, RV_DATA!O6:'RV_DATA'!O29), 6)</f>
        <v>119.5</v>
      </c>
      <c r="AK22">
        <v>3</v>
      </c>
    </row>
    <row r="23" spans="1:37" ht="15" x14ac:dyDescent="0.25">
      <c r="A23" s="86" t="s">
        <v>439</v>
      </c>
      <c r="B23" s="86"/>
      <c r="C23" s="86"/>
      <c r="D23" s="86"/>
      <c r="E23" s="87">
        <f>SUMIF(AK9:AK22, 3, F9:F22)</f>
        <v>283066.15000000008</v>
      </c>
      <c r="F23" s="86"/>
    </row>
  </sheetData>
  <sortState xmlns:xlrd2="http://schemas.microsoft.com/office/spreadsheetml/2017/richdata2" ref="A9:AK22">
    <sortCondition ref="A9"/>
  </sortState>
  <mergeCells count="10">
    <mergeCell ref="A8:F8"/>
    <mergeCell ref="A23:D23"/>
    <mergeCell ref="E23:F23"/>
    <mergeCell ref="A2:F2"/>
    <mergeCell ref="A3:F3"/>
    <mergeCell ref="A4:A6"/>
    <mergeCell ref="B4:B6"/>
    <mergeCell ref="C4:C6"/>
    <mergeCell ref="D4:D6"/>
    <mergeCell ref="E4:F5"/>
  </mergeCells>
  <pageMargins left="0.6" right="0.4" top="0.65" bottom="0.4" header="0.4" footer="0.4"/>
  <pageSetup paperSize="9" scale="90" fitToHeight="0" orientation="portrait" r:id="rId1"/>
  <headerFooter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59"/>
  <sheetViews>
    <sheetView tabSelected="1" zoomScaleNormal="100" workbookViewId="0"/>
  </sheetViews>
  <sheetFormatPr defaultRowHeight="12.75" x14ac:dyDescent="0.2"/>
  <cols>
    <col min="1" max="1" width="6.7109375" customWidth="1"/>
    <col min="2" max="2" width="75.7109375" customWidth="1"/>
    <col min="3" max="5" width="15.7109375" customWidth="1"/>
    <col min="30" max="31" width="0" hidden="1" customWidth="1"/>
  </cols>
  <sheetData>
    <row r="1" spans="1:5" x14ac:dyDescent="0.2">
      <c r="A1" s="11" t="str">
        <f>Source!B1</f>
        <v>Smeta.RU  (495) 974-1589</v>
      </c>
    </row>
    <row r="2" spans="1:5" ht="14.25" x14ac:dyDescent="0.2">
      <c r="B2" s="13"/>
      <c r="C2" s="13"/>
      <c r="D2" s="13"/>
    </row>
    <row r="3" spans="1:5" ht="15" x14ac:dyDescent="0.25">
      <c r="B3" s="53" t="s">
        <v>348</v>
      </c>
      <c r="C3" s="13"/>
      <c r="D3" s="46" t="s">
        <v>349</v>
      </c>
    </row>
    <row r="4" spans="1:5" ht="15" x14ac:dyDescent="0.25">
      <c r="B4" s="13"/>
      <c r="C4" s="46"/>
      <c r="D4" s="46"/>
    </row>
    <row r="5" spans="1:5" ht="15" x14ac:dyDescent="0.25">
      <c r="B5" s="53" t="s">
        <v>440</v>
      </c>
      <c r="C5" s="98" t="s">
        <v>440</v>
      </c>
      <c r="D5" s="98"/>
    </row>
    <row r="6" spans="1:5" ht="15" x14ac:dyDescent="0.25">
      <c r="B6" s="13"/>
      <c r="C6" s="54"/>
      <c r="D6" s="54"/>
    </row>
    <row r="7" spans="1:5" ht="15" x14ac:dyDescent="0.25">
      <c r="B7" s="53" t="s">
        <v>440</v>
      </c>
      <c r="C7" s="98" t="s">
        <v>440</v>
      </c>
      <c r="D7" s="98"/>
    </row>
    <row r="8" spans="1:5" ht="15" x14ac:dyDescent="0.25">
      <c r="B8" s="13"/>
      <c r="C8" s="54"/>
      <c r="D8" s="54"/>
    </row>
    <row r="9" spans="1:5" ht="15" x14ac:dyDescent="0.25">
      <c r="C9" s="46" t="s">
        <v>441</v>
      </c>
      <c r="D9" s="13"/>
    </row>
    <row r="10" spans="1:5" ht="14.25" x14ac:dyDescent="0.2">
      <c r="A10" s="13"/>
      <c r="B10" s="13"/>
      <c r="C10" s="13"/>
      <c r="D10" s="13"/>
      <c r="E10" s="13"/>
    </row>
    <row r="11" spans="1:5" ht="15.75" x14ac:dyDescent="0.25">
      <c r="A11" s="99" t="str">
        <f>CONCATENATE("Ведомость объемов работ ", IF(Source!AN15&lt;&gt;"", Source!AN15," "))</f>
        <v xml:space="preserve">Ведомость объемов работ  </v>
      </c>
      <c r="B11" s="99"/>
      <c r="C11" s="99"/>
      <c r="D11" s="99"/>
      <c r="E11" s="13"/>
    </row>
    <row r="12" spans="1:5" ht="15" x14ac:dyDescent="0.25">
      <c r="A12" s="100" t="str">
        <f>CONCATENATE("На капитальный ремонт ", Source!G12)</f>
        <v>На капитальный ремонт Ремонт АБП в Новослободском парке</v>
      </c>
      <c r="B12" s="100"/>
      <c r="C12" s="100"/>
      <c r="D12" s="100"/>
      <c r="E12" s="13"/>
    </row>
    <row r="13" spans="1:5" ht="14.25" x14ac:dyDescent="0.2">
      <c r="A13" s="13"/>
      <c r="B13" s="13"/>
      <c r="C13" s="13"/>
      <c r="D13" s="13"/>
      <c r="E13" s="13"/>
    </row>
    <row r="14" spans="1:5" ht="28.5" x14ac:dyDescent="0.2">
      <c r="A14" s="24" t="s">
        <v>363</v>
      </c>
      <c r="B14" s="24" t="s">
        <v>365</v>
      </c>
      <c r="C14" s="24" t="s">
        <v>433</v>
      </c>
      <c r="D14" s="24" t="s">
        <v>442</v>
      </c>
      <c r="E14" s="25" t="s">
        <v>443</v>
      </c>
    </row>
    <row r="15" spans="1:5" ht="14.25" x14ac:dyDescent="0.2">
      <c r="A15" s="55">
        <v>1</v>
      </c>
      <c r="B15" s="55">
        <v>2</v>
      </c>
      <c r="C15" s="55">
        <v>3</v>
      </c>
      <c r="D15" s="55">
        <v>4</v>
      </c>
      <c r="E15" s="56">
        <v>5</v>
      </c>
    </row>
    <row r="16" spans="1:5" ht="16.5" x14ac:dyDescent="0.25">
      <c r="A16" s="97" t="str">
        <f>CONCATENATE("Локальная смета: ", Source!G20)</f>
        <v>Локальная смета: Новая локальная смета</v>
      </c>
      <c r="B16" s="97"/>
      <c r="C16" s="97"/>
      <c r="D16" s="97"/>
      <c r="E16" s="97"/>
    </row>
    <row r="17" spans="1:5" ht="16.5" x14ac:dyDescent="0.25">
      <c r="A17" s="97" t="str">
        <f>CONCATENATE("Раздел: ", Source!G24)</f>
        <v>Раздел: Ремонт АБП</v>
      </c>
      <c r="B17" s="97"/>
      <c r="C17" s="97"/>
      <c r="D17" s="97"/>
      <c r="E17" s="97"/>
    </row>
    <row r="18" spans="1:5" ht="14.25" x14ac:dyDescent="0.2">
      <c r="A18" s="58" t="str">
        <f>Source!E28</f>
        <v>1</v>
      </c>
      <c r="B18" s="59" t="str">
        <f>Source!G28</f>
        <v>АБП</v>
      </c>
      <c r="C18" s="60" t="str">
        <f>Source!H28</f>
        <v>м2</v>
      </c>
      <c r="D18" s="61">
        <f>Source!I28</f>
        <v>120</v>
      </c>
      <c r="E18" s="59"/>
    </row>
    <row r="19" spans="1:5" ht="28.5" x14ac:dyDescent="0.2">
      <c r="A19" s="58" t="str">
        <f>Source!E30</f>
        <v>2</v>
      </c>
      <c r="B19" s="59" t="str">
        <f>Source!G30</f>
        <v>Разборка покрытий и оснований асфальтобетонных</v>
      </c>
      <c r="C19" s="60" t="str">
        <f>Source!H30</f>
        <v>100 м3 конструкций</v>
      </c>
      <c r="D19" s="61">
        <f>Source!I30</f>
        <v>0.12</v>
      </c>
      <c r="E19" s="59"/>
    </row>
    <row r="20" spans="1:5" ht="28.5" x14ac:dyDescent="0.2">
      <c r="A20" s="58" t="str">
        <f>Source!E32</f>
        <v>3</v>
      </c>
      <c r="B20" s="59" t="str">
        <f>Source!G32</f>
        <v>Механизированная погрузка строительного мусора в автомобили-самосвалы</v>
      </c>
      <c r="C20" s="60" t="str">
        <f>Source!H32</f>
        <v>1 Т</v>
      </c>
      <c r="D20" s="61">
        <f>Source!I32</f>
        <v>27.36</v>
      </c>
      <c r="E20" s="59"/>
    </row>
    <row r="21" spans="1:5" ht="28.5" x14ac:dyDescent="0.2">
      <c r="A21" s="58" t="str">
        <f>Source!E34</f>
        <v>4</v>
      </c>
      <c r="B21" s="59" t="str">
        <f>Source!G34</f>
        <v>Погрузка и выгрузка вручную строительного мусора на транспортные средства</v>
      </c>
      <c r="C21" s="60" t="str">
        <f>Source!H34</f>
        <v>1 Т</v>
      </c>
      <c r="D21" s="61">
        <f>Source!I34</f>
        <v>1.44</v>
      </c>
      <c r="E21" s="59"/>
    </row>
    <row r="22" spans="1:5" ht="28.5" x14ac:dyDescent="0.2">
      <c r="A22" s="58" t="str">
        <f>Source!E36</f>
        <v>5</v>
      </c>
      <c r="B22" s="59" t="str">
        <f>Source!G36</f>
        <v>Перевозка строительного мусора на расстояние до 52 км автосамосвалами грузоподъемностью до 20 т</v>
      </c>
      <c r="C22" s="60" t="str">
        <f>Source!H36</f>
        <v>т</v>
      </c>
      <c r="D22" s="61">
        <f>Source!I36</f>
        <v>28.8</v>
      </c>
      <c r="E22" s="59"/>
    </row>
    <row r="23" spans="1:5" ht="14.25" x14ac:dyDescent="0.2">
      <c r="A23" s="58" t="str">
        <f>Source!E38</f>
        <v>6</v>
      </c>
      <c r="B23" s="59" t="str">
        <f>Source!G38</f>
        <v>Лом асфальтовых и асфальтобетонных покрытий малоопасный</v>
      </c>
      <c r="C23" s="60" t="str">
        <f>Source!H38</f>
        <v>1 Т</v>
      </c>
      <c r="D23" s="61">
        <f>Source!I38</f>
        <v>28.8</v>
      </c>
      <c r="E23" s="59"/>
    </row>
    <row r="24" spans="1:5" ht="42.75" x14ac:dyDescent="0.2">
      <c r="A24" s="58" t="str">
        <f>Source!E40</f>
        <v>7</v>
      </c>
      <c r="B24" s="59" t="str">
        <f>Source!G40</f>
        <v>Устройство асфальтобетонных покрытий дорожек и тротуаров двухслойных нижний слой из крупнозернистой асфальтобетонной смеси толщиной 4,5 см/5см</v>
      </c>
      <c r="C24" s="60" t="str">
        <f>Source!H40</f>
        <v>100 м2 покрытия</v>
      </c>
      <c r="D24" s="61">
        <f>Source!I40</f>
        <v>1.2</v>
      </c>
      <c r="E24" s="59"/>
    </row>
    <row r="25" spans="1:5" ht="14.25" x14ac:dyDescent="0.2">
      <c r="A25" s="58" t="str">
        <f>Source!E42</f>
        <v>7,1</v>
      </c>
      <c r="B25" s="59" t="str">
        <f>Source!G42</f>
        <v>Смеси асфальтобетонные дорожные горячие крупнозернистые, тип II</v>
      </c>
      <c r="C25" s="60" t="str">
        <f>Source!H42</f>
        <v>т</v>
      </c>
      <c r="D25" s="61">
        <f>Source!I42</f>
        <v>14.268000000000001</v>
      </c>
      <c r="E25" s="59"/>
    </row>
    <row r="26" spans="1:5" ht="42.75" x14ac:dyDescent="0.2">
      <c r="A26" s="58" t="str">
        <f>Source!E44</f>
        <v>8</v>
      </c>
      <c r="B26" s="59" t="str">
        <f>Source!G44</f>
        <v>Устройство асфальтобетонных покрытий дорожек и тротуаров двухслойных верхний слой из песчаной асфальтобетонной смеси толщиной 3 см</v>
      </c>
      <c r="C26" s="60" t="str">
        <f>Source!H44</f>
        <v>100 м2 покрытия</v>
      </c>
      <c r="D26" s="61">
        <f>Source!I44</f>
        <v>1.2</v>
      </c>
      <c r="E26" s="59"/>
    </row>
    <row r="27" spans="1:5" ht="28.5" x14ac:dyDescent="0.2">
      <c r="A27" s="58" t="str">
        <f>Source!E46</f>
        <v>8,1</v>
      </c>
      <c r="B27" s="59" t="str">
        <f>Source!G46</f>
        <v>Смеси асфальтобетонные дорожные горячие песчаные, тип Д, марка III/  тип Д, марка II</v>
      </c>
      <c r="C27" s="60" t="str">
        <f>Source!H46</f>
        <v>т</v>
      </c>
      <c r="D27" s="61">
        <f>Source!I46</f>
        <v>14.28</v>
      </c>
      <c r="E27" s="59"/>
    </row>
    <row r="28" spans="1:5" ht="16.5" x14ac:dyDescent="0.25">
      <c r="A28" s="97" t="str">
        <f>CONCATENATE("Раздел: ", Source!G79)</f>
        <v>Раздел: Замена бортового гранитного камня</v>
      </c>
      <c r="B28" s="97"/>
      <c r="C28" s="97"/>
      <c r="D28" s="97"/>
      <c r="E28" s="97"/>
    </row>
    <row r="29" spans="1:5" ht="14.25" x14ac:dyDescent="0.2">
      <c r="A29" s="58" t="str">
        <f>Source!E83</f>
        <v>9</v>
      </c>
      <c r="B29" s="59" t="str">
        <f>Source!G83</f>
        <v>Разборка бортовых камней на бетонном основании</v>
      </c>
      <c r="C29" s="60" t="str">
        <f>Source!H83</f>
        <v>100 м</v>
      </c>
      <c r="D29" s="61">
        <f>Source!I83</f>
        <v>1.02</v>
      </c>
      <c r="E29" s="59"/>
    </row>
    <row r="30" spans="1:5" ht="28.5" x14ac:dyDescent="0.2">
      <c r="A30" s="58" t="str">
        <f>Source!E85</f>
        <v>10</v>
      </c>
      <c r="B30" s="59" t="str">
        <f>Source!G85</f>
        <v>Механизированная погрузка строительного мусора в автомобили-самосвалы</v>
      </c>
      <c r="C30" s="60" t="str">
        <f>Source!H85</f>
        <v>1 Т</v>
      </c>
      <c r="D30" s="61">
        <f>Source!I85</f>
        <v>26.686260000000001</v>
      </c>
      <c r="E30" s="59"/>
    </row>
    <row r="31" spans="1:5" ht="28.5" x14ac:dyDescent="0.2">
      <c r="A31" s="58" t="str">
        <f>Source!E87</f>
        <v>11</v>
      </c>
      <c r="B31" s="59" t="str">
        <f>Source!G87</f>
        <v>Погрузка и выгрузка вручную строительного мусора на транспортные средства</v>
      </c>
      <c r="C31" s="60" t="str">
        <f>Source!H87</f>
        <v>1 Т</v>
      </c>
      <c r="D31" s="61">
        <f>Source!I87</f>
        <v>1.4045399999999999</v>
      </c>
      <c r="E31" s="59"/>
    </row>
    <row r="32" spans="1:5" ht="28.5" x14ac:dyDescent="0.2">
      <c r="A32" s="58" t="str">
        <f>Source!E89</f>
        <v>12</v>
      </c>
      <c r="B32" s="59" t="str">
        <f>Source!G89</f>
        <v>Перевозка строительного мусора на расстояние до 52 км автосамосвалами грузоподъемностью до 20 т</v>
      </c>
      <c r="C32" s="60" t="str">
        <f>Source!H89</f>
        <v>т</v>
      </c>
      <c r="D32" s="61">
        <f>Source!I89</f>
        <v>28.090800000000002</v>
      </c>
      <c r="E32" s="59"/>
    </row>
    <row r="33" spans="1:5" ht="28.5" x14ac:dyDescent="0.2">
      <c r="A33" s="58" t="str">
        <f>Source!E91</f>
        <v>13</v>
      </c>
      <c r="B33" s="59" t="str">
        <f>Source!G91</f>
        <v>Лом бортовых камней, брусчатки, булыжных камней и прочие отходы изделий из природного камня, практически неопасный</v>
      </c>
      <c r="C33" s="60" t="str">
        <f>Source!H91</f>
        <v>1 Т</v>
      </c>
      <c r="D33" s="61">
        <f>Source!I91</f>
        <v>28.090800000000002</v>
      </c>
      <c r="E33" s="59"/>
    </row>
    <row r="34" spans="1:5" ht="57" x14ac:dyDescent="0.2">
      <c r="A34" s="58" t="str">
        <f>Source!E93</f>
        <v>14</v>
      </c>
      <c r="B34" s="59" t="str">
        <f>Source!G93</f>
        <v>Устройство подстилающих и выравнивающих слоев оснований из песка</v>
      </c>
      <c r="C34" s="60" t="str">
        <f>Source!H93</f>
        <v>100 м3 материала основания (в плотном теле)</v>
      </c>
      <c r="D34" s="61">
        <f>Source!I93</f>
        <v>3.5700000000000003E-2</v>
      </c>
      <c r="E34" s="59"/>
    </row>
    <row r="35" spans="1:5" ht="14.25" x14ac:dyDescent="0.2">
      <c r="A35" s="58" t="str">
        <f>Source!E95</f>
        <v>14,1</v>
      </c>
      <c r="B35" s="59" t="str">
        <f>Source!G95</f>
        <v>Песок для строительных работ, рядовой</v>
      </c>
      <c r="C35" s="60" t="str">
        <f>Source!H95</f>
        <v>м3</v>
      </c>
      <c r="D35" s="61">
        <f>Source!I95</f>
        <v>3.9270000000000005</v>
      </c>
      <c r="E35" s="59"/>
    </row>
    <row r="36" spans="1:5" ht="42.75" x14ac:dyDescent="0.2">
      <c r="A36" s="58" t="str">
        <f>Source!E97</f>
        <v>15</v>
      </c>
      <c r="B36" s="59" t="str">
        <f>Source!G97</f>
        <v>Установка бортовых камней природных при других видах покрытий</v>
      </c>
      <c r="C36" s="60" t="str">
        <f>Source!H97</f>
        <v>100 м бортового камня</v>
      </c>
      <c r="D36" s="61">
        <f>Source!I97</f>
        <v>1.02</v>
      </c>
      <c r="E36" s="59"/>
    </row>
    <row r="37" spans="1:5" ht="14.25" x14ac:dyDescent="0.2">
      <c r="A37" s="58" t="str">
        <f>Source!E99</f>
        <v>15,1</v>
      </c>
      <c r="B37" s="59" t="str">
        <f>Source!G99</f>
        <v>Камни бортовые из гранита серого цвета, пиленые, сечение 300х150 мм</v>
      </c>
      <c r="C37" s="60" t="str">
        <f>Source!H99</f>
        <v>м</v>
      </c>
      <c r="D37" s="61">
        <f>Source!I99</f>
        <v>102</v>
      </c>
      <c r="E37" s="59"/>
    </row>
    <row r="38" spans="1:5" ht="28.5" x14ac:dyDescent="0.2">
      <c r="A38" s="58" t="str">
        <f>Source!E101</f>
        <v>16</v>
      </c>
      <c r="B38" s="59" t="str">
        <f>Source!G101</f>
        <v>Устройство покрытий из гранитных малоразмерных плит на цементно-песчаной подушке толщиной 50 мм</v>
      </c>
      <c r="C38" s="60" t="str">
        <f>Source!H101</f>
        <v>100 м2</v>
      </c>
      <c r="D38" s="61">
        <f>Source!I101</f>
        <v>0.20399999999999999</v>
      </c>
      <c r="E38" s="59"/>
    </row>
    <row r="39" spans="1:5" ht="28.5" x14ac:dyDescent="0.2">
      <c r="A39" s="58" t="str">
        <f>Source!E103</f>
        <v>16,1</v>
      </c>
      <c r="B39" s="59" t="str">
        <f>Source!G103</f>
        <v>Плиты облицовочные гранитные пиленые, толщина 90-100 мм, месторождение: Мансуровское/100х100х100</v>
      </c>
      <c r="C39" s="60" t="str">
        <f>Source!H103</f>
        <v>м2</v>
      </c>
      <c r="D39" s="61">
        <f>Source!I103</f>
        <v>36.72</v>
      </c>
      <c r="E39" s="59"/>
    </row>
    <row r="40" spans="1:5" ht="28.5" x14ac:dyDescent="0.2">
      <c r="A40" s="58" t="str">
        <f>Source!E105</f>
        <v>16,2</v>
      </c>
      <c r="B40" s="59" t="str">
        <f>Source!G105</f>
        <v>Смеси сухие монтажно-кладочные цементно-песчаные, В12,5 (М150), F100, крупность заполнителя не более 3,5 мм</v>
      </c>
      <c r="C40" s="60" t="str">
        <f>Source!H105</f>
        <v>т</v>
      </c>
      <c r="D40" s="61">
        <f>Source!I105</f>
        <v>2.04</v>
      </c>
      <c r="E40" s="59"/>
    </row>
    <row r="41" spans="1:5" ht="28.5" x14ac:dyDescent="0.2">
      <c r="A41" s="58" t="str">
        <f>Source!E107</f>
        <v>17</v>
      </c>
      <c r="B41" s="59" t="str">
        <f>Source!G107</f>
        <v>Резка гранитных и бетонных малоразмерных плит в построечных условиях</v>
      </c>
      <c r="C41" s="60" t="str">
        <f>Source!H107</f>
        <v>100 м</v>
      </c>
      <c r="D41" s="61">
        <f>Source!I107</f>
        <v>1.2239999999999999E-2</v>
      </c>
      <c r="E41" s="59"/>
    </row>
    <row r="42" spans="1:5" ht="28.5" x14ac:dyDescent="0.2">
      <c r="A42" s="58" t="str">
        <f>Source!E109</f>
        <v>17,1</v>
      </c>
      <c r="B42" s="59" t="str">
        <f>Source!G109</f>
        <v>Диск отрезной с алмазным покрытием, диаметр 230 мм, высота сегмента 7 мм</v>
      </c>
      <c r="C42" s="60" t="str">
        <f>Source!H109</f>
        <v>шт.</v>
      </c>
      <c r="D42" s="61">
        <f>Source!I109</f>
        <v>8.201E-3</v>
      </c>
      <c r="E42" s="59"/>
    </row>
    <row r="43" spans="1:5" ht="16.5" x14ac:dyDescent="0.25">
      <c r="A43" s="97" t="str">
        <f>CONCATENATE("Раздел: ", Source!G142)</f>
        <v>Раздел: Устройство газона 15 см</v>
      </c>
      <c r="B43" s="97"/>
      <c r="C43" s="97"/>
      <c r="D43" s="97"/>
      <c r="E43" s="97"/>
    </row>
    <row r="44" spans="1:5" ht="14.25" x14ac:dyDescent="0.2">
      <c r="A44" s="58" t="str">
        <f>Source!E146</f>
        <v>18</v>
      </c>
      <c r="B44" s="59" t="str">
        <f>Source!G146</f>
        <v>Устройство газона посевного</v>
      </c>
      <c r="C44" s="60" t="str">
        <f>Source!H146</f>
        <v>м2</v>
      </c>
      <c r="D44" s="61">
        <f>Source!I146</f>
        <v>192</v>
      </c>
      <c r="E44" s="59"/>
    </row>
    <row r="45" spans="1:5" ht="28.5" x14ac:dyDescent="0.2">
      <c r="A45" s="58" t="str">
        <f>Source!E148</f>
        <v>19</v>
      </c>
      <c r="B45" s="59" t="str">
        <f>Source!G148</f>
        <v>Разработка грунта с погрузкой на автомобили-самосвалы экскаваторами с ковшом вместимостью 0,5 м3 группа грунтов 1-3</v>
      </c>
      <c r="C45" s="60" t="str">
        <f>Source!H148</f>
        <v>100 м3 грунта</v>
      </c>
      <c r="D45" s="61">
        <f>Source!I148</f>
        <v>0.27360000000000001</v>
      </c>
      <c r="E45" s="59"/>
    </row>
    <row r="46" spans="1:5" ht="28.5" x14ac:dyDescent="0.2">
      <c r="A46" s="58" t="str">
        <f>Source!E150</f>
        <v>20</v>
      </c>
      <c r="B46" s="59" t="str">
        <f>Source!G150</f>
        <v>Разработка грунта вручную в траншеях глубиной до 2 м без креплений с откосами группа грунтов 1-3</v>
      </c>
      <c r="C46" s="60" t="str">
        <f>Source!H150</f>
        <v>100 м3 грунта</v>
      </c>
      <c r="D46" s="61">
        <f>Source!I150</f>
        <v>1.44E-2</v>
      </c>
      <c r="E46" s="59"/>
    </row>
    <row r="47" spans="1:5" ht="42.75" x14ac:dyDescent="0.2">
      <c r="A47" s="58" t="str">
        <f>Source!E152</f>
        <v>21</v>
      </c>
      <c r="B47" s="59" t="str">
        <f>Source!G152</f>
        <v>Разработка грунта с погрузкой на автомобили-самосвалы экскаваторами с ковшом вместимостью 0,5 м3 группа грунтов 1-3 /погрузка механизированная  от разработанного вручную грунта 90%</v>
      </c>
      <c r="C47" s="60" t="str">
        <f>Source!H152</f>
        <v>100 м3 грунта</v>
      </c>
      <c r="D47" s="61">
        <f>Source!I152</f>
        <v>1.2959999999999999E-2</v>
      </c>
      <c r="E47" s="59"/>
    </row>
    <row r="48" spans="1:5" ht="28.5" x14ac:dyDescent="0.2">
      <c r="A48" s="58" t="str">
        <f>Source!E154</f>
        <v>22</v>
      </c>
      <c r="B48" s="59" t="str">
        <f>Source!G154</f>
        <v>Погрузка грунта вручную в автомобили-самосвалы с выгрузкой/ от разработанного вручную грунта 10%</v>
      </c>
      <c r="C48" s="60" t="str">
        <f>Source!H154</f>
        <v>100 м3 грунта</v>
      </c>
      <c r="D48" s="61">
        <f>Source!I154</f>
        <v>1.4400000000000001E-3</v>
      </c>
      <c r="E48" s="59"/>
    </row>
    <row r="49" spans="1:5" ht="28.5" x14ac:dyDescent="0.2">
      <c r="A49" s="58" t="str">
        <f>Source!E156</f>
        <v>23</v>
      </c>
      <c r="B49" s="59" t="str">
        <f>Source!G156</f>
        <v>Перевозка грунтов растительного слоя и торфов на расстояние до 55 км автосамосвалами грузоподъемностью до 20 т</v>
      </c>
      <c r="C49" s="60" t="str">
        <f>Source!H156</f>
        <v>т</v>
      </c>
      <c r="D49" s="61">
        <f>Source!I156</f>
        <v>40.32</v>
      </c>
      <c r="E49" s="59"/>
    </row>
    <row r="50" spans="1:5" ht="28.5" x14ac:dyDescent="0.2">
      <c r="A50" s="58" t="str">
        <f>Source!E158</f>
        <v>24</v>
      </c>
      <c r="B50" s="59" t="str">
        <f>Source!G158</f>
        <v>Отходы грунта при проведении открытых земляных работ практически неопасные</v>
      </c>
      <c r="C50" s="60" t="str">
        <f>Source!H158</f>
        <v>1 Т</v>
      </c>
      <c r="D50" s="61">
        <f>Source!I158</f>
        <v>40.32</v>
      </c>
      <c r="E50" s="59"/>
    </row>
    <row r="51" spans="1:5" ht="42.75" x14ac:dyDescent="0.2">
      <c r="A51" s="58" t="str">
        <f>Source!E160</f>
        <v>25</v>
      </c>
      <c r="B51" s="59" t="str">
        <f>Source!G160</f>
        <v>Подготовка почвы для устройства партерного и обыкновенного газонов с внесением растительной земли слоем 15 см механизированным способом</v>
      </c>
      <c r="C51" s="60" t="str">
        <f>Source!H160</f>
        <v>100 м2</v>
      </c>
      <c r="D51" s="61">
        <f>Source!I160</f>
        <v>1.44</v>
      </c>
      <c r="E51" s="59"/>
    </row>
    <row r="52" spans="1:5" ht="14.25" x14ac:dyDescent="0.2">
      <c r="A52" s="58" t="str">
        <f>Source!E162</f>
        <v>25,1</v>
      </c>
      <c r="B52" s="59" t="str">
        <f>Source!G162</f>
        <v>Земля растительная</v>
      </c>
      <c r="C52" s="60" t="str">
        <f>Source!H162</f>
        <v>м3</v>
      </c>
      <c r="D52" s="61">
        <f>Source!I162</f>
        <v>21.6</v>
      </c>
      <c r="E52" s="59"/>
    </row>
    <row r="53" spans="1:5" ht="28.5" x14ac:dyDescent="0.2">
      <c r="A53" s="58" t="str">
        <f>Source!E164</f>
        <v>26</v>
      </c>
      <c r="B53" s="59" t="str">
        <f>Source!G164</f>
        <v>Подготовка почвы для устройства партерного и обыкновенного газонов с внесением растительной земли слоем 15 см вручную</v>
      </c>
      <c r="C53" s="60" t="str">
        <f>Source!H164</f>
        <v>100 м2</v>
      </c>
      <c r="D53" s="61">
        <f>Source!I164</f>
        <v>0.48</v>
      </c>
      <c r="E53" s="59"/>
    </row>
    <row r="54" spans="1:5" ht="14.25" x14ac:dyDescent="0.2">
      <c r="A54" s="58" t="str">
        <f>Source!E166</f>
        <v>26,1</v>
      </c>
      <c r="B54" s="59" t="str">
        <f>Source!G166</f>
        <v>Земля растительная</v>
      </c>
      <c r="C54" s="60" t="str">
        <f>Source!H166</f>
        <v>м3</v>
      </c>
      <c r="D54" s="61">
        <f>Source!I166</f>
        <v>7.2</v>
      </c>
      <c r="E54" s="59"/>
    </row>
    <row r="55" spans="1:5" ht="14.25" x14ac:dyDescent="0.2">
      <c r="A55" s="58" t="str">
        <f>Source!E168</f>
        <v>27</v>
      </c>
      <c r="B55" s="59" t="str">
        <f>Source!G168</f>
        <v>Посев газонов партерных, мавританских, и обыкновенных вручную</v>
      </c>
      <c r="C55" s="60" t="str">
        <f>Source!H168</f>
        <v>100 м2</v>
      </c>
      <c r="D55" s="61">
        <f>Source!I168</f>
        <v>1.92</v>
      </c>
      <c r="E55" s="59"/>
    </row>
    <row r="56" spans="1:5" ht="14.25" x14ac:dyDescent="0.2">
      <c r="A56" s="57" t="str">
        <f>Source!E170</f>
        <v>27,1</v>
      </c>
      <c r="B56" s="50" t="str">
        <f>Source!G170</f>
        <v>Семена (смесь универсальная) газонных трав</v>
      </c>
      <c r="C56" s="51" t="str">
        <f>Source!H170</f>
        <v>кг</v>
      </c>
      <c r="D56" s="48">
        <f>Source!I170</f>
        <v>7.68</v>
      </c>
      <c r="E56" s="50"/>
    </row>
    <row r="59" spans="1:5" ht="15" x14ac:dyDescent="0.25">
      <c r="A59" s="22" t="s">
        <v>444</v>
      </c>
      <c r="B59" s="22"/>
      <c r="C59" s="22" t="s">
        <v>445</v>
      </c>
      <c r="D59" s="22"/>
      <c r="E59" s="22"/>
    </row>
  </sheetData>
  <mergeCells count="8">
    <mergeCell ref="A28:E28"/>
    <mergeCell ref="A43:E43"/>
    <mergeCell ref="C5:D5"/>
    <mergeCell ref="C7:D7"/>
    <mergeCell ref="A11:D11"/>
    <mergeCell ref="A12:D12"/>
    <mergeCell ref="A16:E16"/>
    <mergeCell ref="A17:E17"/>
  </mergeCells>
  <pageMargins left="0.4" right="0.2" top="0.2" bottom="0.4" header="0.2" footer="0.2"/>
  <pageSetup paperSize="9" scale="77" fitToHeight="0" orientation="portrait" r:id="rId1"/>
  <headerFooter>
    <oddHeader>&amp;L&amp;8</oddHead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U279"/>
  <sheetViews>
    <sheetView workbookViewId="0">
      <selection activeCell="A275" sqref="A275:AA275"/>
    </sheetView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0</v>
      </c>
      <c r="L1">
        <v>12798</v>
      </c>
      <c r="M1">
        <v>10</v>
      </c>
      <c r="N1">
        <v>11</v>
      </c>
      <c r="O1">
        <v>2</v>
      </c>
      <c r="P1">
        <v>0</v>
      </c>
      <c r="Q1">
        <v>0</v>
      </c>
    </row>
    <row r="12" spans="1:133" x14ac:dyDescent="0.2">
      <c r="A12" s="1">
        <v>1</v>
      </c>
      <c r="B12" s="1">
        <v>272</v>
      </c>
      <c r="C12" s="1">
        <v>0</v>
      </c>
      <c r="D12" s="1">
        <f>ROW(A235)</f>
        <v>235</v>
      </c>
      <c r="E12" s="1">
        <v>0</v>
      </c>
      <c r="F12" s="1" t="s">
        <v>4</v>
      </c>
      <c r="G12" s="1" t="s">
        <v>5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0</v>
      </c>
      <c r="R12" s="1">
        <v>175</v>
      </c>
      <c r="S12" s="1">
        <v>157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6</v>
      </c>
      <c r="BI12" s="1" t="s">
        <v>7</v>
      </c>
      <c r="BJ12" s="1">
        <v>1</v>
      </c>
      <c r="BK12" s="1">
        <v>1</v>
      </c>
      <c r="BL12" s="1">
        <v>0</v>
      </c>
      <c r="BM12" s="1">
        <v>0</v>
      </c>
      <c r="BN12" s="1">
        <v>1</v>
      </c>
      <c r="BO12" s="1">
        <v>0</v>
      </c>
      <c r="BP12" s="1">
        <v>6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8</v>
      </c>
      <c r="BZ12" s="1" t="s">
        <v>9</v>
      </c>
      <c r="CA12" s="1" t="s">
        <v>10</v>
      </c>
      <c r="CB12" s="1" t="s">
        <v>10</v>
      </c>
      <c r="CC12" s="1" t="s">
        <v>10</v>
      </c>
      <c r="CD12" s="1" t="s">
        <v>10</v>
      </c>
      <c r="CE12" s="1" t="s">
        <v>11</v>
      </c>
      <c r="CF12" s="1">
        <v>0</v>
      </c>
      <c r="CG12" s="1">
        <v>0</v>
      </c>
      <c r="CH12" s="1">
        <v>16777224</v>
      </c>
      <c r="CI12" s="1" t="s">
        <v>3</v>
      </c>
      <c r="CJ12" s="1" t="s">
        <v>3</v>
      </c>
      <c r="CK12" s="1">
        <v>59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55" x14ac:dyDescent="0.2">
      <c r="A18" s="3">
        <v>52</v>
      </c>
      <c r="B18" s="3">
        <f t="shared" ref="B18:G18" si="0">B235</f>
        <v>272</v>
      </c>
      <c r="C18" s="3">
        <f t="shared" si="0"/>
        <v>1</v>
      </c>
      <c r="D18" s="3">
        <f t="shared" si="0"/>
        <v>12</v>
      </c>
      <c r="E18" s="3">
        <f t="shared" si="0"/>
        <v>0</v>
      </c>
      <c r="F18" s="3" t="str">
        <f t="shared" si="0"/>
        <v>Новый объект</v>
      </c>
      <c r="G18" s="3" t="str">
        <f t="shared" si="0"/>
        <v>Ремонт АБП в Новослободском парке</v>
      </c>
      <c r="H18" s="3"/>
      <c r="I18" s="3"/>
      <c r="J18" s="3"/>
      <c r="K18" s="3"/>
      <c r="L18" s="3"/>
      <c r="M18" s="3"/>
      <c r="N18" s="3"/>
      <c r="O18" s="3">
        <f t="shared" ref="O18:AT18" si="1">O235</f>
        <v>296322.8</v>
      </c>
      <c r="P18" s="3">
        <f t="shared" si="1"/>
        <v>283066.15000000002</v>
      </c>
      <c r="Q18" s="3">
        <f t="shared" si="1"/>
        <v>9020.44</v>
      </c>
      <c r="R18" s="3">
        <f t="shared" si="1"/>
        <v>259.47000000000003</v>
      </c>
      <c r="S18" s="3">
        <f t="shared" si="1"/>
        <v>4236.21</v>
      </c>
      <c r="T18" s="3">
        <f t="shared" si="1"/>
        <v>0</v>
      </c>
      <c r="U18" s="3">
        <f t="shared" si="1"/>
        <v>375.46125959999995</v>
      </c>
      <c r="V18" s="3">
        <f t="shared" si="1"/>
        <v>0</v>
      </c>
      <c r="W18" s="3">
        <f t="shared" si="1"/>
        <v>0</v>
      </c>
      <c r="X18" s="3">
        <f t="shared" si="1"/>
        <v>5749.91</v>
      </c>
      <c r="Y18" s="3">
        <f t="shared" si="1"/>
        <v>3602.9</v>
      </c>
      <c r="Z18" s="3">
        <f t="shared" si="1"/>
        <v>0</v>
      </c>
      <c r="AA18" s="3">
        <f t="shared" si="1"/>
        <v>0</v>
      </c>
      <c r="AB18" s="3">
        <f t="shared" si="1"/>
        <v>0</v>
      </c>
      <c r="AC18" s="3">
        <f t="shared" si="1"/>
        <v>0</v>
      </c>
      <c r="AD18" s="3">
        <f t="shared" si="1"/>
        <v>0</v>
      </c>
      <c r="AE18" s="3">
        <f t="shared" si="1"/>
        <v>0</v>
      </c>
      <c r="AF18" s="3">
        <f t="shared" si="1"/>
        <v>0</v>
      </c>
      <c r="AG18" s="3">
        <f t="shared" si="1"/>
        <v>0</v>
      </c>
      <c r="AH18" s="3">
        <f t="shared" si="1"/>
        <v>0</v>
      </c>
      <c r="AI18" s="3">
        <f t="shared" si="1"/>
        <v>0</v>
      </c>
      <c r="AJ18" s="3">
        <f t="shared" si="1"/>
        <v>0</v>
      </c>
      <c r="AK18" s="3">
        <f t="shared" si="1"/>
        <v>0</v>
      </c>
      <c r="AL18" s="3">
        <f t="shared" si="1"/>
        <v>0</v>
      </c>
      <c r="AM18" s="3">
        <f t="shared" si="1"/>
        <v>0</v>
      </c>
      <c r="AN18" s="3">
        <f t="shared" si="1"/>
        <v>0</v>
      </c>
      <c r="AO18" s="3">
        <f t="shared" si="1"/>
        <v>0</v>
      </c>
      <c r="AP18" s="3">
        <f t="shared" si="1"/>
        <v>0</v>
      </c>
      <c r="AQ18" s="3">
        <f t="shared" si="1"/>
        <v>0</v>
      </c>
      <c r="AR18" s="3">
        <f t="shared" si="1"/>
        <v>306129.7</v>
      </c>
      <c r="AS18" s="3">
        <f t="shared" si="1"/>
        <v>298677.96000000002</v>
      </c>
      <c r="AT18" s="3">
        <f t="shared" si="1"/>
        <v>0</v>
      </c>
      <c r="AU18" s="3">
        <f t="shared" ref="AU18:BZ18" si="2">AU235</f>
        <v>7451.74</v>
      </c>
      <c r="AV18" s="3">
        <f t="shared" si="2"/>
        <v>283066.15000000002</v>
      </c>
      <c r="AW18" s="3">
        <f t="shared" si="2"/>
        <v>283066.15000000002</v>
      </c>
      <c r="AX18" s="3">
        <f t="shared" si="2"/>
        <v>0</v>
      </c>
      <c r="AY18" s="3">
        <f t="shared" si="2"/>
        <v>283066.15000000002</v>
      </c>
      <c r="AZ18" s="3">
        <f t="shared" si="2"/>
        <v>0</v>
      </c>
      <c r="BA18" s="3">
        <f t="shared" si="2"/>
        <v>0</v>
      </c>
      <c r="BB18" s="3">
        <f t="shared" si="2"/>
        <v>0</v>
      </c>
      <c r="BC18" s="3">
        <f t="shared" si="2"/>
        <v>0</v>
      </c>
      <c r="BD18" s="3">
        <f t="shared" si="2"/>
        <v>0</v>
      </c>
      <c r="BE18" s="3">
        <f t="shared" si="2"/>
        <v>0</v>
      </c>
      <c r="BF18" s="3">
        <f t="shared" si="2"/>
        <v>0</v>
      </c>
      <c r="BG18" s="3">
        <f t="shared" si="2"/>
        <v>0</v>
      </c>
      <c r="BH18" s="3">
        <f t="shared" si="2"/>
        <v>0</v>
      </c>
      <c r="BI18" s="3">
        <f t="shared" si="2"/>
        <v>0</v>
      </c>
      <c r="BJ18" s="3">
        <f t="shared" si="2"/>
        <v>0</v>
      </c>
      <c r="BK18" s="3">
        <f t="shared" si="2"/>
        <v>0</v>
      </c>
      <c r="BL18" s="3">
        <f t="shared" si="2"/>
        <v>0</v>
      </c>
      <c r="BM18" s="3">
        <f t="shared" si="2"/>
        <v>0</v>
      </c>
      <c r="BN18" s="3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t="shared" ref="CA18:DF18" si="3">CA235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4">
        <f t="shared" ref="DG18:EL18" si="4">DG235</f>
        <v>931373.79</v>
      </c>
      <c r="DH18" s="4">
        <f t="shared" si="4"/>
        <v>737851.9</v>
      </c>
      <c r="DI18" s="4">
        <f t="shared" si="4"/>
        <v>87065.93</v>
      </c>
      <c r="DJ18" s="4">
        <f t="shared" si="4"/>
        <v>6517.71</v>
      </c>
      <c r="DK18" s="4">
        <f t="shared" si="4"/>
        <v>106455.96</v>
      </c>
      <c r="DL18" s="4">
        <f t="shared" si="4"/>
        <v>0</v>
      </c>
      <c r="DM18" s="4">
        <f t="shared" si="4"/>
        <v>375.46125959999995</v>
      </c>
      <c r="DN18" s="4">
        <f t="shared" si="4"/>
        <v>0</v>
      </c>
      <c r="DO18" s="4">
        <f t="shared" si="4"/>
        <v>0</v>
      </c>
      <c r="DP18" s="4">
        <f t="shared" si="4"/>
        <v>108387.81</v>
      </c>
      <c r="DQ18" s="4">
        <f t="shared" si="4"/>
        <v>48349.14</v>
      </c>
      <c r="DR18" s="4">
        <f t="shared" si="4"/>
        <v>0</v>
      </c>
      <c r="DS18" s="4">
        <f t="shared" si="4"/>
        <v>0</v>
      </c>
      <c r="DT18" s="4">
        <f t="shared" si="4"/>
        <v>0</v>
      </c>
      <c r="DU18" s="4">
        <f t="shared" si="4"/>
        <v>0</v>
      </c>
      <c r="DV18" s="4">
        <f t="shared" si="4"/>
        <v>0</v>
      </c>
      <c r="DW18" s="4">
        <f t="shared" si="4"/>
        <v>0</v>
      </c>
      <c r="DX18" s="4">
        <f t="shared" si="4"/>
        <v>0</v>
      </c>
      <c r="DY18" s="4">
        <f t="shared" si="4"/>
        <v>0</v>
      </c>
      <c r="DZ18" s="4">
        <f t="shared" si="4"/>
        <v>0</v>
      </c>
      <c r="EA18" s="4">
        <f t="shared" si="4"/>
        <v>0</v>
      </c>
      <c r="EB18" s="4">
        <f t="shared" si="4"/>
        <v>0</v>
      </c>
      <c r="EC18" s="4">
        <f t="shared" si="4"/>
        <v>0</v>
      </c>
      <c r="ED18" s="4">
        <f t="shared" si="4"/>
        <v>0</v>
      </c>
      <c r="EE18" s="4">
        <f t="shared" si="4"/>
        <v>0</v>
      </c>
      <c r="EF18" s="4">
        <f t="shared" si="4"/>
        <v>0</v>
      </c>
      <c r="EG18" s="4">
        <f t="shared" si="4"/>
        <v>0</v>
      </c>
      <c r="EH18" s="4">
        <f t="shared" si="4"/>
        <v>0</v>
      </c>
      <c r="EI18" s="4">
        <f t="shared" si="4"/>
        <v>0</v>
      </c>
      <c r="EJ18" s="4">
        <f t="shared" si="4"/>
        <v>1098343.53</v>
      </c>
      <c r="EK18" s="4">
        <f t="shared" si="4"/>
        <v>1026198.88</v>
      </c>
      <c r="EL18" s="4">
        <f t="shared" si="4"/>
        <v>0</v>
      </c>
      <c r="EM18" s="4">
        <f t="shared" ref="EM18:FR18" si="5">EM235</f>
        <v>72144.649999999994</v>
      </c>
      <c r="EN18" s="4">
        <f t="shared" si="5"/>
        <v>737851.9</v>
      </c>
      <c r="EO18" s="4">
        <f t="shared" si="5"/>
        <v>737851.9</v>
      </c>
      <c r="EP18" s="4">
        <f t="shared" si="5"/>
        <v>0</v>
      </c>
      <c r="EQ18" s="4">
        <f t="shared" si="5"/>
        <v>737851.9</v>
      </c>
      <c r="ER18" s="4">
        <f t="shared" si="5"/>
        <v>0</v>
      </c>
      <c r="ES18" s="4">
        <f t="shared" si="5"/>
        <v>0</v>
      </c>
      <c r="ET18" s="4">
        <f t="shared" si="5"/>
        <v>0</v>
      </c>
      <c r="EU18" s="4">
        <f t="shared" si="5"/>
        <v>0</v>
      </c>
      <c r="EV18" s="4">
        <f t="shared" si="5"/>
        <v>0</v>
      </c>
      <c r="EW18" s="4">
        <f t="shared" si="5"/>
        <v>0</v>
      </c>
      <c r="EX18" s="4">
        <f t="shared" si="5"/>
        <v>0</v>
      </c>
      <c r="EY18" s="4">
        <f t="shared" si="5"/>
        <v>0</v>
      </c>
      <c r="EZ18" s="4">
        <f t="shared" si="5"/>
        <v>0</v>
      </c>
      <c r="FA18" s="4">
        <f t="shared" si="5"/>
        <v>0</v>
      </c>
      <c r="FB18" s="4">
        <f t="shared" si="5"/>
        <v>0</v>
      </c>
      <c r="FC18" s="4">
        <f t="shared" si="5"/>
        <v>0</v>
      </c>
      <c r="FD18" s="4">
        <f t="shared" si="5"/>
        <v>0</v>
      </c>
      <c r="FE18" s="4">
        <f t="shared" si="5"/>
        <v>0</v>
      </c>
      <c r="FF18" s="4">
        <f t="shared" si="5"/>
        <v>0</v>
      </c>
      <c r="FG18" s="4">
        <f t="shared" si="5"/>
        <v>0</v>
      </c>
      <c r="FH18" s="4">
        <f t="shared" si="5"/>
        <v>0</v>
      </c>
      <c r="FI18" s="4">
        <f t="shared" si="5"/>
        <v>0</v>
      </c>
      <c r="FJ18" s="4">
        <f t="shared" si="5"/>
        <v>0</v>
      </c>
      <c r="FK18" s="4">
        <f t="shared" si="5"/>
        <v>0</v>
      </c>
      <c r="FL18" s="4">
        <f t="shared" si="5"/>
        <v>0</v>
      </c>
      <c r="FM18" s="4">
        <f t="shared" si="5"/>
        <v>0</v>
      </c>
      <c r="FN18" s="4">
        <f t="shared" si="5"/>
        <v>0</v>
      </c>
      <c r="FO18" s="4">
        <f t="shared" si="5"/>
        <v>0</v>
      </c>
      <c r="FP18" s="4">
        <f t="shared" si="5"/>
        <v>0</v>
      </c>
      <c r="FQ18" s="4">
        <f t="shared" si="5"/>
        <v>0</v>
      </c>
      <c r="FR18" s="4">
        <f t="shared" si="5"/>
        <v>0</v>
      </c>
      <c r="FS18" s="4">
        <f t="shared" ref="FS18:GX18" si="6">FS235</f>
        <v>0</v>
      </c>
      <c r="FT18" s="4">
        <f t="shared" si="6"/>
        <v>0</v>
      </c>
      <c r="FU18" s="4">
        <f t="shared" si="6"/>
        <v>0</v>
      </c>
      <c r="FV18" s="4">
        <f t="shared" si="6"/>
        <v>0</v>
      </c>
      <c r="FW18" s="4">
        <f t="shared" si="6"/>
        <v>0</v>
      </c>
      <c r="FX18" s="4">
        <f t="shared" si="6"/>
        <v>0</v>
      </c>
      <c r="FY18" s="4">
        <f t="shared" si="6"/>
        <v>0</v>
      </c>
      <c r="FZ18" s="4">
        <f t="shared" si="6"/>
        <v>0</v>
      </c>
      <c r="GA18" s="4">
        <f t="shared" si="6"/>
        <v>0</v>
      </c>
      <c r="GB18" s="4">
        <f t="shared" si="6"/>
        <v>0</v>
      </c>
      <c r="GC18" s="4">
        <f t="shared" si="6"/>
        <v>0</v>
      </c>
      <c r="GD18" s="4">
        <f t="shared" si="6"/>
        <v>0</v>
      </c>
      <c r="GE18" s="4">
        <f t="shared" si="6"/>
        <v>0</v>
      </c>
      <c r="GF18" s="4">
        <f t="shared" si="6"/>
        <v>0</v>
      </c>
      <c r="GG18" s="4">
        <f t="shared" si="6"/>
        <v>0</v>
      </c>
      <c r="GH18" s="4">
        <f t="shared" si="6"/>
        <v>0</v>
      </c>
      <c r="GI18" s="4">
        <f t="shared" si="6"/>
        <v>0</v>
      </c>
      <c r="GJ18" s="4">
        <f t="shared" si="6"/>
        <v>0</v>
      </c>
      <c r="GK18" s="4">
        <f t="shared" si="6"/>
        <v>0</v>
      </c>
      <c r="GL18" s="4">
        <f t="shared" si="6"/>
        <v>0</v>
      </c>
      <c r="GM18" s="4">
        <f t="shared" si="6"/>
        <v>0</v>
      </c>
      <c r="GN18" s="4">
        <f t="shared" si="6"/>
        <v>0</v>
      </c>
      <c r="GO18" s="4">
        <f t="shared" si="6"/>
        <v>0</v>
      </c>
      <c r="GP18" s="4">
        <f t="shared" si="6"/>
        <v>0</v>
      </c>
      <c r="GQ18" s="4">
        <f t="shared" si="6"/>
        <v>0</v>
      </c>
      <c r="GR18" s="4">
        <f t="shared" si="6"/>
        <v>0</v>
      </c>
      <c r="GS18" s="4">
        <f t="shared" si="6"/>
        <v>0</v>
      </c>
      <c r="GT18" s="4">
        <f t="shared" si="6"/>
        <v>0</v>
      </c>
      <c r="GU18" s="4">
        <f t="shared" si="6"/>
        <v>0</v>
      </c>
      <c r="GV18" s="4">
        <f t="shared" si="6"/>
        <v>0</v>
      </c>
      <c r="GW18" s="4">
        <f t="shared" si="6"/>
        <v>0</v>
      </c>
      <c r="GX18" s="4">
        <f t="shared" si="6"/>
        <v>0</v>
      </c>
    </row>
    <row r="20" spans="1:255" x14ac:dyDescent="0.2">
      <c r="A20" s="1">
        <v>3</v>
      </c>
      <c r="B20" s="1">
        <v>1</v>
      </c>
      <c r="C20" s="1"/>
      <c r="D20" s="1">
        <f>ROW(A203)</f>
        <v>203</v>
      </c>
      <c r="E20" s="1"/>
      <c r="F20" s="1" t="s">
        <v>12</v>
      </c>
      <c r="G20" s="1" t="s">
        <v>12</v>
      </c>
      <c r="H20" s="1" t="s">
        <v>3</v>
      </c>
      <c r="I20" s="1">
        <v>0</v>
      </c>
      <c r="J20" s="1" t="s">
        <v>3</v>
      </c>
      <c r="K20" s="1">
        <v>0</v>
      </c>
      <c r="L20" s="1" t="s">
        <v>3</v>
      </c>
      <c r="M20" s="1"/>
      <c r="N20" s="1"/>
      <c r="O20" s="1"/>
      <c r="P20" s="1"/>
      <c r="Q20" s="1"/>
      <c r="R20" s="1"/>
      <c r="S20" s="1"/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  <c r="CK20" t="s">
        <v>3</v>
      </c>
      <c r="CL20" t="s">
        <v>3</v>
      </c>
      <c r="CM20" t="s">
        <v>3</v>
      </c>
      <c r="CN20" t="s">
        <v>3</v>
      </c>
      <c r="CO20" t="s">
        <v>3</v>
      </c>
      <c r="CP20" t="s">
        <v>3</v>
      </c>
      <c r="CQ20" t="s">
        <v>3</v>
      </c>
      <c r="CR20" t="s">
        <v>3</v>
      </c>
    </row>
    <row r="22" spans="1:255" x14ac:dyDescent="0.2">
      <c r="A22" s="3">
        <v>52</v>
      </c>
      <c r="B22" s="3">
        <f t="shared" ref="B22:G22" si="7">B203</f>
        <v>1</v>
      </c>
      <c r="C22" s="3">
        <f t="shared" si="7"/>
        <v>3</v>
      </c>
      <c r="D22" s="3">
        <f t="shared" si="7"/>
        <v>20</v>
      </c>
      <c r="E22" s="3">
        <f t="shared" si="7"/>
        <v>0</v>
      </c>
      <c r="F22" s="3" t="str">
        <f t="shared" si="7"/>
        <v>Новая локальная смета</v>
      </c>
      <c r="G22" s="3" t="str">
        <f t="shared" si="7"/>
        <v>Новая локальная смета</v>
      </c>
      <c r="H22" s="3"/>
      <c r="I22" s="3"/>
      <c r="J22" s="3"/>
      <c r="K22" s="3"/>
      <c r="L22" s="3"/>
      <c r="M22" s="3"/>
      <c r="N22" s="3"/>
      <c r="O22" s="3">
        <f t="shared" ref="O22:AT22" si="8">O203</f>
        <v>296322.8</v>
      </c>
      <c r="P22" s="3">
        <f t="shared" si="8"/>
        <v>283066.15000000002</v>
      </c>
      <c r="Q22" s="3">
        <f t="shared" si="8"/>
        <v>9020.44</v>
      </c>
      <c r="R22" s="3">
        <f t="shared" si="8"/>
        <v>259.47000000000003</v>
      </c>
      <c r="S22" s="3">
        <f t="shared" si="8"/>
        <v>4236.21</v>
      </c>
      <c r="T22" s="3">
        <f t="shared" si="8"/>
        <v>0</v>
      </c>
      <c r="U22" s="3">
        <f t="shared" si="8"/>
        <v>375.46125959999995</v>
      </c>
      <c r="V22" s="3">
        <f t="shared" si="8"/>
        <v>0</v>
      </c>
      <c r="W22" s="3">
        <f t="shared" si="8"/>
        <v>0</v>
      </c>
      <c r="X22" s="3">
        <f t="shared" si="8"/>
        <v>5749.91</v>
      </c>
      <c r="Y22" s="3">
        <f t="shared" si="8"/>
        <v>3602.9</v>
      </c>
      <c r="Z22" s="3">
        <f t="shared" si="8"/>
        <v>0</v>
      </c>
      <c r="AA22" s="3">
        <f t="shared" si="8"/>
        <v>0</v>
      </c>
      <c r="AB22" s="3">
        <f t="shared" si="8"/>
        <v>0</v>
      </c>
      <c r="AC22" s="3">
        <f t="shared" si="8"/>
        <v>0</v>
      </c>
      <c r="AD22" s="3">
        <f t="shared" si="8"/>
        <v>0</v>
      </c>
      <c r="AE22" s="3">
        <f t="shared" si="8"/>
        <v>0</v>
      </c>
      <c r="AF22" s="3">
        <f t="shared" si="8"/>
        <v>0</v>
      </c>
      <c r="AG22" s="3">
        <f t="shared" si="8"/>
        <v>0</v>
      </c>
      <c r="AH22" s="3">
        <f t="shared" si="8"/>
        <v>0</v>
      </c>
      <c r="AI22" s="3">
        <f t="shared" si="8"/>
        <v>0</v>
      </c>
      <c r="AJ22" s="3">
        <f t="shared" si="8"/>
        <v>0</v>
      </c>
      <c r="AK22" s="3">
        <f t="shared" si="8"/>
        <v>0</v>
      </c>
      <c r="AL22" s="3">
        <f t="shared" si="8"/>
        <v>0</v>
      </c>
      <c r="AM22" s="3">
        <f t="shared" si="8"/>
        <v>0</v>
      </c>
      <c r="AN22" s="3">
        <f t="shared" si="8"/>
        <v>0</v>
      </c>
      <c r="AO22" s="3">
        <f t="shared" si="8"/>
        <v>0</v>
      </c>
      <c r="AP22" s="3">
        <f t="shared" si="8"/>
        <v>0</v>
      </c>
      <c r="AQ22" s="3">
        <f t="shared" si="8"/>
        <v>0</v>
      </c>
      <c r="AR22" s="3">
        <f t="shared" si="8"/>
        <v>306129.7</v>
      </c>
      <c r="AS22" s="3">
        <f t="shared" si="8"/>
        <v>298677.96000000002</v>
      </c>
      <c r="AT22" s="3">
        <f t="shared" si="8"/>
        <v>0</v>
      </c>
      <c r="AU22" s="3">
        <f t="shared" ref="AU22:BZ22" si="9">AU203</f>
        <v>7451.74</v>
      </c>
      <c r="AV22" s="3">
        <f t="shared" si="9"/>
        <v>283066.15000000002</v>
      </c>
      <c r="AW22" s="3">
        <f t="shared" si="9"/>
        <v>283066.15000000002</v>
      </c>
      <c r="AX22" s="3">
        <f t="shared" si="9"/>
        <v>0</v>
      </c>
      <c r="AY22" s="3">
        <f t="shared" si="9"/>
        <v>283066.15000000002</v>
      </c>
      <c r="AZ22" s="3">
        <f t="shared" si="9"/>
        <v>0</v>
      </c>
      <c r="BA22" s="3">
        <f t="shared" si="9"/>
        <v>0</v>
      </c>
      <c r="BB22" s="3">
        <f t="shared" si="9"/>
        <v>0</v>
      </c>
      <c r="BC22" s="3">
        <f t="shared" si="9"/>
        <v>0</v>
      </c>
      <c r="BD22" s="3">
        <f t="shared" si="9"/>
        <v>0</v>
      </c>
      <c r="BE22" s="3">
        <f t="shared" si="9"/>
        <v>0</v>
      </c>
      <c r="BF22" s="3">
        <f t="shared" si="9"/>
        <v>0</v>
      </c>
      <c r="BG22" s="3">
        <f t="shared" si="9"/>
        <v>0</v>
      </c>
      <c r="BH22" s="3">
        <f t="shared" si="9"/>
        <v>0</v>
      </c>
      <c r="BI22" s="3">
        <f t="shared" si="9"/>
        <v>0</v>
      </c>
      <c r="BJ22" s="3">
        <f t="shared" si="9"/>
        <v>0</v>
      </c>
      <c r="BK22" s="3">
        <f t="shared" si="9"/>
        <v>0</v>
      </c>
      <c r="BL22" s="3">
        <f t="shared" si="9"/>
        <v>0</v>
      </c>
      <c r="BM22" s="3">
        <f t="shared" si="9"/>
        <v>0</v>
      </c>
      <c r="BN22" s="3">
        <f t="shared" si="9"/>
        <v>0</v>
      </c>
      <c r="BO22" s="3">
        <f t="shared" si="9"/>
        <v>0</v>
      </c>
      <c r="BP22" s="3">
        <f t="shared" si="9"/>
        <v>0</v>
      </c>
      <c r="BQ22" s="3">
        <f t="shared" si="9"/>
        <v>0</v>
      </c>
      <c r="BR22" s="3">
        <f t="shared" si="9"/>
        <v>0</v>
      </c>
      <c r="BS22" s="3">
        <f t="shared" si="9"/>
        <v>0</v>
      </c>
      <c r="BT22" s="3">
        <f t="shared" si="9"/>
        <v>0</v>
      </c>
      <c r="BU22" s="3">
        <f t="shared" si="9"/>
        <v>0</v>
      </c>
      <c r="BV22" s="3">
        <f t="shared" si="9"/>
        <v>0</v>
      </c>
      <c r="BW22" s="3">
        <f t="shared" si="9"/>
        <v>0</v>
      </c>
      <c r="BX22" s="3">
        <f t="shared" si="9"/>
        <v>0</v>
      </c>
      <c r="BY22" s="3">
        <f t="shared" si="9"/>
        <v>0</v>
      </c>
      <c r="BZ22" s="3">
        <f t="shared" si="9"/>
        <v>0</v>
      </c>
      <c r="CA22" s="3">
        <f t="shared" ref="CA22:DF22" si="10">CA203</f>
        <v>0</v>
      </c>
      <c r="CB22" s="3">
        <f t="shared" si="10"/>
        <v>0</v>
      </c>
      <c r="CC22" s="3">
        <f t="shared" si="10"/>
        <v>0</v>
      </c>
      <c r="CD22" s="3">
        <f t="shared" si="10"/>
        <v>0</v>
      </c>
      <c r="CE22" s="3">
        <f t="shared" si="10"/>
        <v>0</v>
      </c>
      <c r="CF22" s="3">
        <f t="shared" si="10"/>
        <v>0</v>
      </c>
      <c r="CG22" s="3">
        <f t="shared" si="10"/>
        <v>0</v>
      </c>
      <c r="CH22" s="3">
        <f t="shared" si="10"/>
        <v>0</v>
      </c>
      <c r="CI22" s="3">
        <f t="shared" si="10"/>
        <v>0</v>
      </c>
      <c r="CJ22" s="3">
        <f t="shared" si="10"/>
        <v>0</v>
      </c>
      <c r="CK22" s="3">
        <f t="shared" si="10"/>
        <v>0</v>
      </c>
      <c r="CL22" s="3">
        <f t="shared" si="10"/>
        <v>0</v>
      </c>
      <c r="CM22" s="3">
        <f t="shared" si="10"/>
        <v>0</v>
      </c>
      <c r="CN22" s="3">
        <f t="shared" si="10"/>
        <v>0</v>
      </c>
      <c r="CO22" s="3">
        <f t="shared" si="10"/>
        <v>0</v>
      </c>
      <c r="CP22" s="3">
        <f t="shared" si="10"/>
        <v>0</v>
      </c>
      <c r="CQ22" s="3">
        <f t="shared" si="10"/>
        <v>0</v>
      </c>
      <c r="CR22" s="3">
        <f t="shared" si="10"/>
        <v>0</v>
      </c>
      <c r="CS22" s="3">
        <f t="shared" si="10"/>
        <v>0</v>
      </c>
      <c r="CT22" s="3">
        <f t="shared" si="10"/>
        <v>0</v>
      </c>
      <c r="CU22" s="3">
        <f t="shared" si="10"/>
        <v>0</v>
      </c>
      <c r="CV22" s="3">
        <f t="shared" si="10"/>
        <v>0</v>
      </c>
      <c r="CW22" s="3">
        <f t="shared" si="10"/>
        <v>0</v>
      </c>
      <c r="CX22" s="3">
        <f t="shared" si="10"/>
        <v>0</v>
      </c>
      <c r="CY22" s="3">
        <f t="shared" si="10"/>
        <v>0</v>
      </c>
      <c r="CZ22" s="3">
        <f t="shared" si="10"/>
        <v>0</v>
      </c>
      <c r="DA22" s="3">
        <f t="shared" si="10"/>
        <v>0</v>
      </c>
      <c r="DB22" s="3">
        <f t="shared" si="10"/>
        <v>0</v>
      </c>
      <c r="DC22" s="3">
        <f t="shared" si="10"/>
        <v>0</v>
      </c>
      <c r="DD22" s="3">
        <f t="shared" si="10"/>
        <v>0</v>
      </c>
      <c r="DE22" s="3">
        <f t="shared" si="10"/>
        <v>0</v>
      </c>
      <c r="DF22" s="3">
        <f t="shared" si="10"/>
        <v>0</v>
      </c>
      <c r="DG22" s="4">
        <f t="shared" ref="DG22:EL22" si="11">DG203</f>
        <v>931373.79</v>
      </c>
      <c r="DH22" s="4">
        <f t="shared" si="11"/>
        <v>737851.9</v>
      </c>
      <c r="DI22" s="4">
        <f t="shared" si="11"/>
        <v>87065.93</v>
      </c>
      <c r="DJ22" s="4">
        <f t="shared" si="11"/>
        <v>6517.71</v>
      </c>
      <c r="DK22" s="4">
        <f t="shared" si="11"/>
        <v>106455.96</v>
      </c>
      <c r="DL22" s="4">
        <f t="shared" si="11"/>
        <v>0</v>
      </c>
      <c r="DM22" s="4">
        <f t="shared" si="11"/>
        <v>375.46125959999995</v>
      </c>
      <c r="DN22" s="4">
        <f t="shared" si="11"/>
        <v>0</v>
      </c>
      <c r="DO22" s="4">
        <f t="shared" si="11"/>
        <v>0</v>
      </c>
      <c r="DP22" s="4">
        <f t="shared" si="11"/>
        <v>108387.81</v>
      </c>
      <c r="DQ22" s="4">
        <f t="shared" si="11"/>
        <v>48349.14</v>
      </c>
      <c r="DR22" s="4">
        <f t="shared" si="11"/>
        <v>0</v>
      </c>
      <c r="DS22" s="4">
        <f t="shared" si="11"/>
        <v>0</v>
      </c>
      <c r="DT22" s="4">
        <f t="shared" si="11"/>
        <v>0</v>
      </c>
      <c r="DU22" s="4">
        <f t="shared" si="11"/>
        <v>0</v>
      </c>
      <c r="DV22" s="4">
        <f t="shared" si="11"/>
        <v>0</v>
      </c>
      <c r="DW22" s="4">
        <f t="shared" si="11"/>
        <v>0</v>
      </c>
      <c r="DX22" s="4">
        <f t="shared" si="11"/>
        <v>0</v>
      </c>
      <c r="DY22" s="4">
        <f t="shared" si="11"/>
        <v>0</v>
      </c>
      <c r="DZ22" s="4">
        <f t="shared" si="11"/>
        <v>0</v>
      </c>
      <c r="EA22" s="4">
        <f t="shared" si="11"/>
        <v>0</v>
      </c>
      <c r="EB22" s="4">
        <f t="shared" si="11"/>
        <v>0</v>
      </c>
      <c r="EC22" s="4">
        <f t="shared" si="11"/>
        <v>0</v>
      </c>
      <c r="ED22" s="4">
        <f t="shared" si="11"/>
        <v>0</v>
      </c>
      <c r="EE22" s="4">
        <f t="shared" si="11"/>
        <v>0</v>
      </c>
      <c r="EF22" s="4">
        <f t="shared" si="11"/>
        <v>0</v>
      </c>
      <c r="EG22" s="4">
        <f t="shared" si="11"/>
        <v>0</v>
      </c>
      <c r="EH22" s="4">
        <f t="shared" si="11"/>
        <v>0</v>
      </c>
      <c r="EI22" s="4">
        <f t="shared" si="11"/>
        <v>0</v>
      </c>
      <c r="EJ22" s="4">
        <f t="shared" si="11"/>
        <v>1098343.53</v>
      </c>
      <c r="EK22" s="4">
        <f t="shared" si="11"/>
        <v>1026198.88</v>
      </c>
      <c r="EL22" s="4">
        <f t="shared" si="11"/>
        <v>0</v>
      </c>
      <c r="EM22" s="4">
        <f t="shared" ref="EM22:FR22" si="12">EM203</f>
        <v>72144.649999999994</v>
      </c>
      <c r="EN22" s="4">
        <f t="shared" si="12"/>
        <v>737851.9</v>
      </c>
      <c r="EO22" s="4">
        <f t="shared" si="12"/>
        <v>737851.9</v>
      </c>
      <c r="EP22" s="4">
        <f t="shared" si="12"/>
        <v>0</v>
      </c>
      <c r="EQ22" s="4">
        <f t="shared" si="12"/>
        <v>737851.9</v>
      </c>
      <c r="ER22" s="4">
        <f t="shared" si="12"/>
        <v>0</v>
      </c>
      <c r="ES22" s="4">
        <f t="shared" si="12"/>
        <v>0</v>
      </c>
      <c r="ET22" s="4">
        <f t="shared" si="12"/>
        <v>0</v>
      </c>
      <c r="EU22" s="4">
        <f t="shared" si="12"/>
        <v>0</v>
      </c>
      <c r="EV22" s="4">
        <f t="shared" si="12"/>
        <v>0</v>
      </c>
      <c r="EW22" s="4">
        <f t="shared" si="12"/>
        <v>0</v>
      </c>
      <c r="EX22" s="4">
        <f t="shared" si="12"/>
        <v>0</v>
      </c>
      <c r="EY22" s="4">
        <f t="shared" si="12"/>
        <v>0</v>
      </c>
      <c r="EZ22" s="4">
        <f t="shared" si="12"/>
        <v>0</v>
      </c>
      <c r="FA22" s="4">
        <f t="shared" si="12"/>
        <v>0</v>
      </c>
      <c r="FB22" s="4">
        <f t="shared" si="12"/>
        <v>0</v>
      </c>
      <c r="FC22" s="4">
        <f t="shared" si="12"/>
        <v>0</v>
      </c>
      <c r="FD22" s="4">
        <f t="shared" si="12"/>
        <v>0</v>
      </c>
      <c r="FE22" s="4">
        <f t="shared" si="12"/>
        <v>0</v>
      </c>
      <c r="FF22" s="4">
        <f t="shared" si="12"/>
        <v>0</v>
      </c>
      <c r="FG22" s="4">
        <f t="shared" si="12"/>
        <v>0</v>
      </c>
      <c r="FH22" s="4">
        <f t="shared" si="12"/>
        <v>0</v>
      </c>
      <c r="FI22" s="4">
        <f t="shared" si="12"/>
        <v>0</v>
      </c>
      <c r="FJ22" s="4">
        <f t="shared" si="12"/>
        <v>0</v>
      </c>
      <c r="FK22" s="4">
        <f t="shared" si="12"/>
        <v>0</v>
      </c>
      <c r="FL22" s="4">
        <f t="shared" si="12"/>
        <v>0</v>
      </c>
      <c r="FM22" s="4">
        <f t="shared" si="12"/>
        <v>0</v>
      </c>
      <c r="FN22" s="4">
        <f t="shared" si="12"/>
        <v>0</v>
      </c>
      <c r="FO22" s="4">
        <f t="shared" si="12"/>
        <v>0</v>
      </c>
      <c r="FP22" s="4">
        <f t="shared" si="12"/>
        <v>0</v>
      </c>
      <c r="FQ22" s="4">
        <f t="shared" si="12"/>
        <v>0</v>
      </c>
      <c r="FR22" s="4">
        <f t="shared" si="12"/>
        <v>0</v>
      </c>
      <c r="FS22" s="4">
        <f t="shared" ref="FS22:GX22" si="13">FS203</f>
        <v>0</v>
      </c>
      <c r="FT22" s="4">
        <f t="shared" si="13"/>
        <v>0</v>
      </c>
      <c r="FU22" s="4">
        <f t="shared" si="13"/>
        <v>0</v>
      </c>
      <c r="FV22" s="4">
        <f t="shared" si="13"/>
        <v>0</v>
      </c>
      <c r="FW22" s="4">
        <f t="shared" si="13"/>
        <v>0</v>
      </c>
      <c r="FX22" s="4">
        <f t="shared" si="13"/>
        <v>0</v>
      </c>
      <c r="FY22" s="4">
        <f t="shared" si="13"/>
        <v>0</v>
      </c>
      <c r="FZ22" s="4">
        <f t="shared" si="13"/>
        <v>0</v>
      </c>
      <c r="GA22" s="4">
        <f t="shared" si="13"/>
        <v>0</v>
      </c>
      <c r="GB22" s="4">
        <f t="shared" si="13"/>
        <v>0</v>
      </c>
      <c r="GC22" s="4">
        <f t="shared" si="13"/>
        <v>0</v>
      </c>
      <c r="GD22" s="4">
        <f t="shared" si="13"/>
        <v>0</v>
      </c>
      <c r="GE22" s="4">
        <f t="shared" si="13"/>
        <v>0</v>
      </c>
      <c r="GF22" s="4">
        <f t="shared" si="13"/>
        <v>0</v>
      </c>
      <c r="GG22" s="4">
        <f t="shared" si="13"/>
        <v>0</v>
      </c>
      <c r="GH22" s="4">
        <f t="shared" si="13"/>
        <v>0</v>
      </c>
      <c r="GI22" s="4">
        <f t="shared" si="13"/>
        <v>0</v>
      </c>
      <c r="GJ22" s="4">
        <f t="shared" si="13"/>
        <v>0</v>
      </c>
      <c r="GK22" s="4">
        <f t="shared" si="13"/>
        <v>0</v>
      </c>
      <c r="GL22" s="4">
        <f t="shared" si="13"/>
        <v>0</v>
      </c>
      <c r="GM22" s="4">
        <f t="shared" si="13"/>
        <v>0</v>
      </c>
      <c r="GN22" s="4">
        <f t="shared" si="13"/>
        <v>0</v>
      </c>
      <c r="GO22" s="4">
        <f t="shared" si="13"/>
        <v>0</v>
      </c>
      <c r="GP22" s="4">
        <f t="shared" si="13"/>
        <v>0</v>
      </c>
      <c r="GQ22" s="4">
        <f t="shared" si="13"/>
        <v>0</v>
      </c>
      <c r="GR22" s="4">
        <f t="shared" si="13"/>
        <v>0</v>
      </c>
      <c r="GS22" s="4">
        <f t="shared" si="13"/>
        <v>0</v>
      </c>
      <c r="GT22" s="4">
        <f t="shared" si="13"/>
        <v>0</v>
      </c>
      <c r="GU22" s="4">
        <f t="shared" si="13"/>
        <v>0</v>
      </c>
      <c r="GV22" s="4">
        <f t="shared" si="13"/>
        <v>0</v>
      </c>
      <c r="GW22" s="4">
        <f t="shared" si="13"/>
        <v>0</v>
      </c>
      <c r="GX22" s="4">
        <f t="shared" si="13"/>
        <v>0</v>
      </c>
    </row>
    <row r="24" spans="1:255" x14ac:dyDescent="0.2">
      <c r="A24" s="1">
        <v>4</v>
      </c>
      <c r="B24" s="1">
        <v>1</v>
      </c>
      <c r="C24" s="1"/>
      <c r="D24" s="1">
        <f>ROW(A49)</f>
        <v>49</v>
      </c>
      <c r="E24" s="1"/>
      <c r="F24" s="1" t="s">
        <v>13</v>
      </c>
      <c r="G24" s="1" t="s">
        <v>14</v>
      </c>
      <c r="H24" s="1" t="s">
        <v>3</v>
      </c>
      <c r="I24" s="1">
        <v>0</v>
      </c>
      <c r="J24" s="1"/>
      <c r="K24" s="1">
        <v>0</v>
      </c>
      <c r="L24" s="1"/>
      <c r="M24" s="1"/>
      <c r="N24" s="1"/>
      <c r="O24" s="1"/>
      <c r="P24" s="1"/>
      <c r="Q24" s="1"/>
      <c r="R24" s="1"/>
      <c r="S24" s="1"/>
      <c r="T24" s="1"/>
      <c r="U24" s="1" t="s">
        <v>3</v>
      </c>
      <c r="V24" s="1">
        <v>0</v>
      </c>
      <c r="W24" s="1"/>
      <c r="X24" s="1"/>
      <c r="Y24" s="1"/>
      <c r="Z24" s="1"/>
      <c r="AA24" s="1"/>
      <c r="AB24" s="1" t="s">
        <v>3</v>
      </c>
      <c r="AC24" s="1" t="s">
        <v>3</v>
      </c>
      <c r="AD24" s="1" t="s">
        <v>3</v>
      </c>
      <c r="AE24" s="1" t="s">
        <v>3</v>
      </c>
      <c r="AF24" s="1" t="s">
        <v>3</v>
      </c>
      <c r="AG24" s="1" t="s">
        <v>3</v>
      </c>
      <c r="AH24" s="1"/>
      <c r="AI24" s="1"/>
      <c r="AJ24" s="1"/>
      <c r="AK24" s="1"/>
      <c r="AL24" s="1"/>
      <c r="AM24" s="1"/>
      <c r="AN24" s="1"/>
      <c r="AO24" s="1"/>
      <c r="AP24" s="1" t="s">
        <v>3</v>
      </c>
      <c r="AQ24" s="1" t="s">
        <v>3</v>
      </c>
      <c r="AR24" s="1" t="s">
        <v>3</v>
      </c>
      <c r="AS24" s="1"/>
      <c r="AT24" s="1"/>
      <c r="AU24" s="1"/>
      <c r="AV24" s="1"/>
      <c r="AW24" s="1"/>
      <c r="AX24" s="1"/>
      <c r="AY24" s="1"/>
      <c r="AZ24" s="1" t="s">
        <v>3</v>
      </c>
      <c r="BA24" s="1"/>
      <c r="BB24" s="1" t="s">
        <v>3</v>
      </c>
      <c r="BC24" s="1" t="s">
        <v>3</v>
      </c>
      <c r="BD24" s="1" t="s">
        <v>3</v>
      </c>
      <c r="BE24" s="1" t="s">
        <v>3</v>
      </c>
      <c r="BF24" s="1" t="s">
        <v>3</v>
      </c>
      <c r="BG24" s="1" t="s">
        <v>3</v>
      </c>
      <c r="BH24" s="1" t="s">
        <v>3</v>
      </c>
      <c r="BI24" s="1" t="s">
        <v>3</v>
      </c>
      <c r="BJ24" s="1" t="s">
        <v>3</v>
      </c>
      <c r="BK24" s="1" t="s">
        <v>3</v>
      </c>
      <c r="BL24" s="1" t="s">
        <v>3</v>
      </c>
      <c r="BM24" s="1" t="s">
        <v>3</v>
      </c>
      <c r="BN24" s="1" t="s">
        <v>3</v>
      </c>
      <c r="BO24" s="1" t="s">
        <v>3</v>
      </c>
      <c r="BP24" s="1" t="s">
        <v>3</v>
      </c>
      <c r="BQ24" s="1"/>
      <c r="BR24" s="1"/>
      <c r="BS24" s="1"/>
      <c r="BT24" s="1"/>
      <c r="BU24" s="1"/>
      <c r="BV24" s="1"/>
      <c r="BW24" s="1"/>
      <c r="BX24" s="1">
        <v>0</v>
      </c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>
        <v>0</v>
      </c>
    </row>
    <row r="26" spans="1:255" x14ac:dyDescent="0.2">
      <c r="A26" s="3">
        <v>52</v>
      </c>
      <c r="B26" s="3">
        <f t="shared" ref="B26:G26" si="14">B49</f>
        <v>1</v>
      </c>
      <c r="C26" s="3">
        <f t="shared" si="14"/>
        <v>4</v>
      </c>
      <c r="D26" s="3">
        <f t="shared" si="14"/>
        <v>24</v>
      </c>
      <c r="E26" s="3">
        <f t="shared" si="14"/>
        <v>0</v>
      </c>
      <c r="F26" s="3" t="str">
        <f t="shared" si="14"/>
        <v>Новый раздел</v>
      </c>
      <c r="G26" s="3" t="str">
        <f t="shared" si="14"/>
        <v>Ремонт АБП</v>
      </c>
      <c r="H26" s="3"/>
      <c r="I26" s="3"/>
      <c r="J26" s="3"/>
      <c r="K26" s="3"/>
      <c r="L26" s="3"/>
      <c r="M26" s="3"/>
      <c r="N26" s="3"/>
      <c r="O26" s="3">
        <f t="shared" ref="O26:AT26" si="15">O49</f>
        <v>13193.9</v>
      </c>
      <c r="P26" s="3">
        <f t="shared" si="15"/>
        <v>9172.41</v>
      </c>
      <c r="Q26" s="3">
        <f t="shared" si="15"/>
        <v>3546.39</v>
      </c>
      <c r="R26" s="3">
        <f t="shared" si="15"/>
        <v>154.30000000000001</v>
      </c>
      <c r="S26" s="3">
        <f t="shared" si="15"/>
        <v>475.1</v>
      </c>
      <c r="T26" s="3">
        <f t="shared" si="15"/>
        <v>0</v>
      </c>
      <c r="U26" s="3">
        <f t="shared" si="15"/>
        <v>41.572800000000001</v>
      </c>
      <c r="V26" s="3">
        <f t="shared" si="15"/>
        <v>0</v>
      </c>
      <c r="W26" s="3">
        <f t="shared" si="15"/>
        <v>0</v>
      </c>
      <c r="X26" s="3">
        <f t="shared" si="15"/>
        <v>521.29999999999995</v>
      </c>
      <c r="Y26" s="3">
        <f t="shared" si="15"/>
        <v>335.82</v>
      </c>
      <c r="Z26" s="3">
        <f t="shared" si="15"/>
        <v>0</v>
      </c>
      <c r="AA26" s="3">
        <f t="shared" si="15"/>
        <v>0</v>
      </c>
      <c r="AB26" s="3">
        <f t="shared" si="15"/>
        <v>13193.9</v>
      </c>
      <c r="AC26" s="3">
        <f t="shared" si="15"/>
        <v>9172.41</v>
      </c>
      <c r="AD26" s="3">
        <f t="shared" si="15"/>
        <v>3546.39</v>
      </c>
      <c r="AE26" s="3">
        <f t="shared" si="15"/>
        <v>154.30000000000001</v>
      </c>
      <c r="AF26" s="3">
        <f t="shared" si="15"/>
        <v>475.1</v>
      </c>
      <c r="AG26" s="3">
        <f t="shared" si="15"/>
        <v>0</v>
      </c>
      <c r="AH26" s="3">
        <f t="shared" si="15"/>
        <v>41.572800000000001</v>
      </c>
      <c r="AI26" s="3">
        <f t="shared" si="15"/>
        <v>0</v>
      </c>
      <c r="AJ26" s="3">
        <f t="shared" si="15"/>
        <v>0</v>
      </c>
      <c r="AK26" s="3">
        <f t="shared" si="15"/>
        <v>521.29999999999995</v>
      </c>
      <c r="AL26" s="3">
        <f t="shared" si="15"/>
        <v>335.82</v>
      </c>
      <c r="AM26" s="3">
        <f t="shared" si="15"/>
        <v>0</v>
      </c>
      <c r="AN26" s="3">
        <f t="shared" si="15"/>
        <v>0</v>
      </c>
      <c r="AO26" s="3">
        <f t="shared" si="15"/>
        <v>0</v>
      </c>
      <c r="AP26" s="3">
        <f t="shared" si="15"/>
        <v>0</v>
      </c>
      <c r="AQ26" s="3">
        <f t="shared" si="15"/>
        <v>0</v>
      </c>
      <c r="AR26" s="3">
        <f t="shared" si="15"/>
        <v>14321.04</v>
      </c>
      <c r="AS26" s="3">
        <f t="shared" si="15"/>
        <v>11631.41</v>
      </c>
      <c r="AT26" s="3">
        <f t="shared" si="15"/>
        <v>0</v>
      </c>
      <c r="AU26" s="3">
        <f t="shared" ref="AU26:BZ26" si="16">AU49</f>
        <v>2689.63</v>
      </c>
      <c r="AV26" s="3">
        <f t="shared" si="16"/>
        <v>9172.41</v>
      </c>
      <c r="AW26" s="3">
        <f t="shared" si="16"/>
        <v>9172.41</v>
      </c>
      <c r="AX26" s="3">
        <f t="shared" si="16"/>
        <v>0</v>
      </c>
      <c r="AY26" s="3">
        <f t="shared" si="16"/>
        <v>9172.41</v>
      </c>
      <c r="AZ26" s="3">
        <f t="shared" si="16"/>
        <v>0</v>
      </c>
      <c r="BA26" s="3">
        <f t="shared" si="16"/>
        <v>0</v>
      </c>
      <c r="BB26" s="3">
        <f t="shared" si="16"/>
        <v>0</v>
      </c>
      <c r="BC26" s="3">
        <f t="shared" si="16"/>
        <v>0</v>
      </c>
      <c r="BD26" s="3">
        <f t="shared" si="16"/>
        <v>0</v>
      </c>
      <c r="BE26" s="3">
        <f t="shared" si="16"/>
        <v>0</v>
      </c>
      <c r="BF26" s="3">
        <f t="shared" si="16"/>
        <v>0</v>
      </c>
      <c r="BG26" s="3">
        <f t="shared" si="16"/>
        <v>0</v>
      </c>
      <c r="BH26" s="3">
        <f t="shared" si="16"/>
        <v>0</v>
      </c>
      <c r="BI26" s="3">
        <f t="shared" si="16"/>
        <v>0</v>
      </c>
      <c r="BJ26" s="3">
        <f t="shared" si="16"/>
        <v>0</v>
      </c>
      <c r="BK26" s="3">
        <f t="shared" si="16"/>
        <v>0</v>
      </c>
      <c r="BL26" s="3">
        <f t="shared" si="16"/>
        <v>0</v>
      </c>
      <c r="BM26" s="3">
        <f t="shared" si="16"/>
        <v>0</v>
      </c>
      <c r="BN26" s="3">
        <f t="shared" si="16"/>
        <v>0</v>
      </c>
      <c r="BO26" s="3">
        <f t="shared" si="16"/>
        <v>0</v>
      </c>
      <c r="BP26" s="3">
        <f t="shared" si="16"/>
        <v>0</v>
      </c>
      <c r="BQ26" s="3">
        <f t="shared" si="16"/>
        <v>0</v>
      </c>
      <c r="BR26" s="3">
        <f t="shared" si="16"/>
        <v>0</v>
      </c>
      <c r="BS26" s="3">
        <f t="shared" si="16"/>
        <v>0</v>
      </c>
      <c r="BT26" s="3">
        <f t="shared" si="16"/>
        <v>0</v>
      </c>
      <c r="BU26" s="3">
        <f t="shared" si="16"/>
        <v>0</v>
      </c>
      <c r="BV26" s="3">
        <f t="shared" si="16"/>
        <v>0</v>
      </c>
      <c r="BW26" s="3">
        <f t="shared" si="16"/>
        <v>0</v>
      </c>
      <c r="BX26" s="3">
        <f t="shared" si="16"/>
        <v>0</v>
      </c>
      <c r="BY26" s="3">
        <f t="shared" si="16"/>
        <v>0</v>
      </c>
      <c r="BZ26" s="3">
        <f t="shared" si="16"/>
        <v>0</v>
      </c>
      <c r="CA26" s="3">
        <f t="shared" ref="CA26:DF26" si="17">CA49</f>
        <v>14321.04</v>
      </c>
      <c r="CB26" s="3">
        <f t="shared" si="17"/>
        <v>11631.41</v>
      </c>
      <c r="CC26" s="3">
        <f t="shared" si="17"/>
        <v>0</v>
      </c>
      <c r="CD26" s="3">
        <f t="shared" si="17"/>
        <v>2689.63</v>
      </c>
      <c r="CE26" s="3">
        <f t="shared" si="17"/>
        <v>9172.41</v>
      </c>
      <c r="CF26" s="3">
        <f t="shared" si="17"/>
        <v>9172.41</v>
      </c>
      <c r="CG26" s="3">
        <f t="shared" si="17"/>
        <v>0</v>
      </c>
      <c r="CH26" s="3">
        <f t="shared" si="17"/>
        <v>9172.41</v>
      </c>
      <c r="CI26" s="3">
        <f t="shared" si="17"/>
        <v>0</v>
      </c>
      <c r="CJ26" s="3">
        <f t="shared" si="17"/>
        <v>0</v>
      </c>
      <c r="CK26" s="3">
        <f t="shared" si="17"/>
        <v>0</v>
      </c>
      <c r="CL26" s="3">
        <f t="shared" si="17"/>
        <v>0</v>
      </c>
      <c r="CM26" s="3">
        <f t="shared" si="17"/>
        <v>0</v>
      </c>
      <c r="CN26" s="3">
        <f t="shared" si="17"/>
        <v>0</v>
      </c>
      <c r="CO26" s="3">
        <f t="shared" si="17"/>
        <v>0</v>
      </c>
      <c r="CP26" s="3">
        <f t="shared" si="17"/>
        <v>0</v>
      </c>
      <c r="CQ26" s="3">
        <f t="shared" si="17"/>
        <v>0</v>
      </c>
      <c r="CR26" s="3">
        <f t="shared" si="17"/>
        <v>0</v>
      </c>
      <c r="CS26" s="3">
        <f t="shared" si="17"/>
        <v>0</v>
      </c>
      <c r="CT26" s="3">
        <f t="shared" si="17"/>
        <v>0</v>
      </c>
      <c r="CU26" s="3">
        <f t="shared" si="17"/>
        <v>0</v>
      </c>
      <c r="CV26" s="3">
        <f t="shared" si="17"/>
        <v>0</v>
      </c>
      <c r="CW26" s="3">
        <f t="shared" si="17"/>
        <v>0</v>
      </c>
      <c r="CX26" s="3">
        <f t="shared" si="17"/>
        <v>0</v>
      </c>
      <c r="CY26" s="3">
        <f t="shared" si="17"/>
        <v>0</v>
      </c>
      <c r="CZ26" s="3">
        <f t="shared" si="17"/>
        <v>0</v>
      </c>
      <c r="DA26" s="3">
        <f t="shared" si="17"/>
        <v>0</v>
      </c>
      <c r="DB26" s="3">
        <f t="shared" si="17"/>
        <v>0</v>
      </c>
      <c r="DC26" s="3">
        <f t="shared" si="17"/>
        <v>0</v>
      </c>
      <c r="DD26" s="3">
        <f t="shared" si="17"/>
        <v>0</v>
      </c>
      <c r="DE26" s="3">
        <f t="shared" si="17"/>
        <v>0</v>
      </c>
      <c r="DF26" s="3">
        <f t="shared" si="17"/>
        <v>0</v>
      </c>
      <c r="DG26" s="4">
        <f t="shared" ref="DG26:EL26" si="18">DG49</f>
        <v>124218.57</v>
      </c>
      <c r="DH26" s="4">
        <f t="shared" si="18"/>
        <v>79024.12</v>
      </c>
      <c r="DI26" s="4">
        <f t="shared" si="18"/>
        <v>33255.18</v>
      </c>
      <c r="DJ26" s="4">
        <f t="shared" si="18"/>
        <v>3877.55</v>
      </c>
      <c r="DK26" s="4">
        <f t="shared" si="18"/>
        <v>11939.27</v>
      </c>
      <c r="DL26" s="4">
        <f t="shared" si="18"/>
        <v>0</v>
      </c>
      <c r="DM26" s="4">
        <f t="shared" si="18"/>
        <v>41.572800000000001</v>
      </c>
      <c r="DN26" s="4">
        <f t="shared" si="18"/>
        <v>0</v>
      </c>
      <c r="DO26" s="4">
        <f t="shared" si="18"/>
        <v>0</v>
      </c>
      <c r="DP26" s="4">
        <f t="shared" si="18"/>
        <v>10606.53</v>
      </c>
      <c r="DQ26" s="4">
        <f t="shared" si="18"/>
        <v>4895.09</v>
      </c>
      <c r="DR26" s="4">
        <f t="shared" si="18"/>
        <v>0</v>
      </c>
      <c r="DS26" s="4">
        <f t="shared" si="18"/>
        <v>0</v>
      </c>
      <c r="DT26" s="4">
        <f t="shared" si="18"/>
        <v>124218.57</v>
      </c>
      <c r="DU26" s="4">
        <f t="shared" si="18"/>
        <v>79024.12</v>
      </c>
      <c r="DV26" s="4">
        <f t="shared" si="18"/>
        <v>33255.18</v>
      </c>
      <c r="DW26" s="4">
        <f t="shared" si="18"/>
        <v>3877.55</v>
      </c>
      <c r="DX26" s="4">
        <f t="shared" si="18"/>
        <v>11939.27</v>
      </c>
      <c r="DY26" s="4">
        <f t="shared" si="18"/>
        <v>0</v>
      </c>
      <c r="DZ26" s="4">
        <f t="shared" si="18"/>
        <v>41.572800000000001</v>
      </c>
      <c r="EA26" s="4">
        <f t="shared" si="18"/>
        <v>0</v>
      </c>
      <c r="EB26" s="4">
        <f t="shared" si="18"/>
        <v>0</v>
      </c>
      <c r="EC26" s="4">
        <f t="shared" si="18"/>
        <v>10606.53</v>
      </c>
      <c r="ED26" s="4">
        <f t="shared" si="18"/>
        <v>4895.09</v>
      </c>
      <c r="EE26" s="4">
        <f t="shared" si="18"/>
        <v>0</v>
      </c>
      <c r="EF26" s="4">
        <f t="shared" si="18"/>
        <v>0</v>
      </c>
      <c r="EG26" s="4">
        <f t="shared" si="18"/>
        <v>0</v>
      </c>
      <c r="EH26" s="4">
        <f t="shared" si="18"/>
        <v>0</v>
      </c>
      <c r="EI26" s="4">
        <f t="shared" si="18"/>
        <v>0</v>
      </c>
      <c r="EJ26" s="4">
        <f t="shared" si="18"/>
        <v>145807.94</v>
      </c>
      <c r="EK26" s="4">
        <f t="shared" si="18"/>
        <v>120885.65</v>
      </c>
      <c r="EL26" s="4">
        <f t="shared" si="18"/>
        <v>0</v>
      </c>
      <c r="EM26" s="4">
        <f t="shared" ref="EM26:FR26" si="19">EM49</f>
        <v>24922.29</v>
      </c>
      <c r="EN26" s="4">
        <f t="shared" si="19"/>
        <v>79024.12</v>
      </c>
      <c r="EO26" s="4">
        <f t="shared" si="19"/>
        <v>79024.12</v>
      </c>
      <c r="EP26" s="4">
        <f t="shared" si="19"/>
        <v>0</v>
      </c>
      <c r="EQ26" s="4">
        <f t="shared" si="19"/>
        <v>79024.12</v>
      </c>
      <c r="ER26" s="4">
        <f t="shared" si="19"/>
        <v>0</v>
      </c>
      <c r="ES26" s="4">
        <f t="shared" si="19"/>
        <v>0</v>
      </c>
      <c r="ET26" s="4">
        <f t="shared" si="19"/>
        <v>0</v>
      </c>
      <c r="EU26" s="4">
        <f t="shared" si="19"/>
        <v>0</v>
      </c>
      <c r="EV26" s="4">
        <f t="shared" si="19"/>
        <v>0</v>
      </c>
      <c r="EW26" s="4">
        <f t="shared" si="19"/>
        <v>0</v>
      </c>
      <c r="EX26" s="4">
        <f t="shared" si="19"/>
        <v>0</v>
      </c>
      <c r="EY26" s="4">
        <f t="shared" si="19"/>
        <v>0</v>
      </c>
      <c r="EZ26" s="4">
        <f t="shared" si="19"/>
        <v>0</v>
      </c>
      <c r="FA26" s="4">
        <f t="shared" si="19"/>
        <v>0</v>
      </c>
      <c r="FB26" s="4">
        <f t="shared" si="19"/>
        <v>0</v>
      </c>
      <c r="FC26" s="4">
        <f t="shared" si="19"/>
        <v>0</v>
      </c>
      <c r="FD26" s="4">
        <f t="shared" si="19"/>
        <v>0</v>
      </c>
      <c r="FE26" s="4">
        <f t="shared" si="19"/>
        <v>0</v>
      </c>
      <c r="FF26" s="4">
        <f t="shared" si="19"/>
        <v>0</v>
      </c>
      <c r="FG26" s="4">
        <f t="shared" si="19"/>
        <v>0</v>
      </c>
      <c r="FH26" s="4">
        <f t="shared" si="19"/>
        <v>0</v>
      </c>
      <c r="FI26" s="4">
        <f t="shared" si="19"/>
        <v>0</v>
      </c>
      <c r="FJ26" s="4">
        <f t="shared" si="19"/>
        <v>0</v>
      </c>
      <c r="FK26" s="4">
        <f t="shared" si="19"/>
        <v>0</v>
      </c>
      <c r="FL26" s="4">
        <f t="shared" si="19"/>
        <v>0</v>
      </c>
      <c r="FM26" s="4">
        <f t="shared" si="19"/>
        <v>0</v>
      </c>
      <c r="FN26" s="4">
        <f t="shared" si="19"/>
        <v>0</v>
      </c>
      <c r="FO26" s="4">
        <f t="shared" si="19"/>
        <v>0</v>
      </c>
      <c r="FP26" s="4">
        <f t="shared" si="19"/>
        <v>0</v>
      </c>
      <c r="FQ26" s="4">
        <f t="shared" si="19"/>
        <v>0</v>
      </c>
      <c r="FR26" s="4">
        <f t="shared" si="19"/>
        <v>0</v>
      </c>
      <c r="FS26" s="4">
        <f t="shared" ref="FS26:GX26" si="20">FS49</f>
        <v>145807.94</v>
      </c>
      <c r="FT26" s="4">
        <f t="shared" si="20"/>
        <v>120885.65</v>
      </c>
      <c r="FU26" s="4">
        <f t="shared" si="20"/>
        <v>0</v>
      </c>
      <c r="FV26" s="4">
        <f t="shared" si="20"/>
        <v>24922.29</v>
      </c>
      <c r="FW26" s="4">
        <f t="shared" si="20"/>
        <v>79024.12</v>
      </c>
      <c r="FX26" s="4">
        <f t="shared" si="20"/>
        <v>79024.12</v>
      </c>
      <c r="FY26" s="4">
        <f t="shared" si="20"/>
        <v>0</v>
      </c>
      <c r="FZ26" s="4">
        <f t="shared" si="20"/>
        <v>79024.12</v>
      </c>
      <c r="GA26" s="4">
        <f t="shared" si="20"/>
        <v>0</v>
      </c>
      <c r="GB26" s="4">
        <f t="shared" si="20"/>
        <v>0</v>
      </c>
      <c r="GC26" s="4">
        <f t="shared" si="20"/>
        <v>0</v>
      </c>
      <c r="GD26" s="4">
        <f t="shared" si="20"/>
        <v>0</v>
      </c>
      <c r="GE26" s="4">
        <f t="shared" si="20"/>
        <v>0</v>
      </c>
      <c r="GF26" s="4">
        <f t="shared" si="20"/>
        <v>0</v>
      </c>
      <c r="GG26" s="4">
        <f t="shared" si="20"/>
        <v>0</v>
      </c>
      <c r="GH26" s="4">
        <f t="shared" si="20"/>
        <v>0</v>
      </c>
      <c r="GI26" s="4">
        <f t="shared" si="20"/>
        <v>0</v>
      </c>
      <c r="GJ26" s="4">
        <f t="shared" si="20"/>
        <v>0</v>
      </c>
      <c r="GK26" s="4">
        <f t="shared" si="20"/>
        <v>0</v>
      </c>
      <c r="GL26" s="4">
        <f t="shared" si="20"/>
        <v>0</v>
      </c>
      <c r="GM26" s="4">
        <f t="shared" si="20"/>
        <v>0</v>
      </c>
      <c r="GN26" s="4">
        <f t="shared" si="20"/>
        <v>0</v>
      </c>
      <c r="GO26" s="4">
        <f t="shared" si="20"/>
        <v>0</v>
      </c>
      <c r="GP26" s="4">
        <f t="shared" si="20"/>
        <v>0</v>
      </c>
      <c r="GQ26" s="4">
        <f t="shared" si="20"/>
        <v>0</v>
      </c>
      <c r="GR26" s="4">
        <f t="shared" si="20"/>
        <v>0</v>
      </c>
      <c r="GS26" s="4">
        <f t="shared" si="20"/>
        <v>0</v>
      </c>
      <c r="GT26" s="4">
        <f t="shared" si="20"/>
        <v>0</v>
      </c>
      <c r="GU26" s="4">
        <f t="shared" si="20"/>
        <v>0</v>
      </c>
      <c r="GV26" s="4">
        <f t="shared" si="20"/>
        <v>0</v>
      </c>
      <c r="GW26" s="4">
        <f t="shared" si="20"/>
        <v>0</v>
      </c>
      <c r="GX26" s="4">
        <f t="shared" si="20"/>
        <v>0</v>
      </c>
    </row>
    <row r="28" spans="1:255" x14ac:dyDescent="0.2">
      <c r="A28" s="2">
        <v>17</v>
      </c>
      <c r="B28" s="2">
        <v>1</v>
      </c>
      <c r="C28" s="2"/>
      <c r="D28" s="2"/>
      <c r="E28" s="2" t="s">
        <v>15</v>
      </c>
      <c r="F28" s="2" t="s">
        <v>3</v>
      </c>
      <c r="G28" s="2" t="s">
        <v>16</v>
      </c>
      <c r="H28" s="2" t="s">
        <v>17</v>
      </c>
      <c r="I28" s="2">
        <v>120</v>
      </c>
      <c r="J28" s="2">
        <v>0</v>
      </c>
      <c r="K28" s="2"/>
      <c r="L28" s="2"/>
      <c r="M28" s="2"/>
      <c r="N28" s="2"/>
      <c r="O28" s="2">
        <f t="shared" ref="O28:O47" si="21">ROUND(CP28,2)</f>
        <v>0</v>
      </c>
      <c r="P28" s="2">
        <f t="shared" ref="P28:P47" si="22">ROUND((ROUND((AC28*AW28*I28),2)*BC28),2)</f>
        <v>0</v>
      </c>
      <c r="Q28" s="2">
        <f t="shared" ref="Q28:Q47" si="23">(ROUND((ROUND(((ET28)*AV28*I28),2)*BB28),2)+ROUND((ROUND(((AE28-(EU28))*AV28*I28),2)*BS28),2))</f>
        <v>0</v>
      </c>
      <c r="R28" s="2">
        <f t="shared" ref="R28:R47" si="24">ROUND((ROUND((AE28*AV28*I28),2)*BS28),2)</f>
        <v>0</v>
      </c>
      <c r="S28" s="2">
        <f t="shared" ref="S28:S47" si="25">ROUND((ROUND((AF28*AV28*I28),2)*BA28),2)</f>
        <v>0</v>
      </c>
      <c r="T28" s="2">
        <f t="shared" ref="T28:T47" si="26">ROUND(CU28*I28,2)</f>
        <v>0</v>
      </c>
      <c r="U28" s="2">
        <f t="shared" ref="U28:U47" si="27">CV28*I28</f>
        <v>0</v>
      </c>
      <c r="V28" s="2">
        <f t="shared" ref="V28:V47" si="28">CW28*I28</f>
        <v>0</v>
      </c>
      <c r="W28" s="2">
        <f t="shared" ref="W28:W47" si="29">ROUND(CX28*I28,2)</f>
        <v>0</v>
      </c>
      <c r="X28" s="2">
        <f t="shared" ref="X28:X47" si="30">ROUND(CY28,2)</f>
        <v>0</v>
      </c>
      <c r="Y28" s="2">
        <f t="shared" ref="Y28:Y47" si="31">ROUND(CZ28,2)</f>
        <v>0</v>
      </c>
      <c r="Z28" s="2"/>
      <c r="AA28" s="2">
        <v>45748053</v>
      </c>
      <c r="AB28" s="2">
        <f t="shared" ref="AB28:AB47" si="32">ROUND((AC28+AD28+AF28),6)</f>
        <v>0</v>
      </c>
      <c r="AC28" s="2">
        <f t="shared" ref="AC28:AC47" si="33">ROUND((ES28),6)</f>
        <v>0</v>
      </c>
      <c r="AD28" s="2">
        <f t="shared" ref="AD28:AD47" si="34">ROUND((((ET28)-(EU28))+AE28),6)</f>
        <v>0</v>
      </c>
      <c r="AE28" s="2">
        <f t="shared" ref="AE28:AE47" si="35">ROUND((EU28),6)</f>
        <v>0</v>
      </c>
      <c r="AF28" s="2">
        <f t="shared" ref="AF28:AF47" si="36">ROUND((EV28),6)</f>
        <v>0</v>
      </c>
      <c r="AG28" s="2">
        <f t="shared" ref="AG28:AG47" si="37">ROUND((AP28),6)</f>
        <v>0</v>
      </c>
      <c r="AH28" s="2">
        <f t="shared" ref="AH28:AH47" si="38">(EW28)</f>
        <v>0</v>
      </c>
      <c r="AI28" s="2">
        <f t="shared" ref="AI28:AI47" si="39">(EX28)</f>
        <v>0</v>
      </c>
      <c r="AJ28" s="2">
        <f t="shared" ref="AJ28:AJ47" si="40">(AS28)</f>
        <v>0</v>
      </c>
      <c r="AK28" s="2">
        <v>0</v>
      </c>
      <c r="AL28" s="2">
        <v>0</v>
      </c>
      <c r="AM28" s="2">
        <v>0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0</v>
      </c>
      <c r="AV28" s="2">
        <v>1</v>
      </c>
      <c r="AW28" s="2">
        <v>1</v>
      </c>
      <c r="AX28" s="2"/>
      <c r="AY28" s="2"/>
      <c r="AZ28" s="2">
        <v>1</v>
      </c>
      <c r="BA28" s="2">
        <v>1</v>
      </c>
      <c r="BB28" s="2">
        <v>1</v>
      </c>
      <c r="BC28" s="2">
        <v>1</v>
      </c>
      <c r="BD28" s="2" t="s">
        <v>3</v>
      </c>
      <c r="BE28" s="2" t="s">
        <v>3</v>
      </c>
      <c r="BF28" s="2" t="s">
        <v>3</v>
      </c>
      <c r="BG28" s="2" t="s">
        <v>3</v>
      </c>
      <c r="BH28" s="2">
        <v>0</v>
      </c>
      <c r="BI28" s="2">
        <v>4</v>
      </c>
      <c r="BJ28" s="2" t="s">
        <v>3</v>
      </c>
      <c r="BK28" s="2"/>
      <c r="BL28" s="2"/>
      <c r="BM28" s="2">
        <v>0</v>
      </c>
      <c r="BN28" s="2">
        <v>0</v>
      </c>
      <c r="BO28" s="2" t="s">
        <v>3</v>
      </c>
      <c r="BP28" s="2">
        <v>0</v>
      </c>
      <c r="BQ28" s="2">
        <v>0</v>
      </c>
      <c r="BR28" s="2">
        <v>0</v>
      </c>
      <c r="BS28" s="2">
        <v>1</v>
      </c>
      <c r="BT28" s="2">
        <v>1</v>
      </c>
      <c r="BU28" s="2">
        <v>1</v>
      </c>
      <c r="BV28" s="2">
        <v>1</v>
      </c>
      <c r="BW28" s="2">
        <v>1</v>
      </c>
      <c r="BX28" s="2">
        <v>1</v>
      </c>
      <c r="BY28" s="2" t="s">
        <v>3</v>
      </c>
      <c r="BZ28" s="2">
        <v>0</v>
      </c>
      <c r="CA28" s="2">
        <v>0</v>
      </c>
      <c r="CB28" s="2"/>
      <c r="CC28" s="2"/>
      <c r="CD28" s="2"/>
      <c r="CE28" s="2">
        <v>30</v>
      </c>
      <c r="CF28" s="2">
        <v>0</v>
      </c>
      <c r="CG28" s="2">
        <v>0</v>
      </c>
      <c r="CH28" s="2"/>
      <c r="CI28" s="2"/>
      <c r="CJ28" s="2"/>
      <c r="CK28" s="2"/>
      <c r="CL28" s="2"/>
      <c r="CM28" s="2">
        <v>0</v>
      </c>
      <c r="CN28" s="2" t="s">
        <v>3</v>
      </c>
      <c r="CO28" s="2">
        <v>0</v>
      </c>
      <c r="CP28" s="2">
        <f t="shared" ref="CP28:CP47" si="41">(P28+Q28+S28)</f>
        <v>0</v>
      </c>
      <c r="CQ28" s="2">
        <f t="shared" ref="CQ28:CQ47" si="42">ROUND((ROUND((AC28*AW28*1),2)*BC28),2)</f>
        <v>0</v>
      </c>
      <c r="CR28" s="2">
        <f t="shared" ref="CR28:CR47" si="43">(ROUND((ROUND(((ET28)*AV28*1),2)*BB28),2)+ROUND((ROUND(((AE28-(EU28))*AV28*1),2)*BS28),2))</f>
        <v>0</v>
      </c>
      <c r="CS28" s="2">
        <f t="shared" ref="CS28:CS47" si="44">ROUND((ROUND((AE28*AV28*1),2)*BS28),2)</f>
        <v>0</v>
      </c>
      <c r="CT28" s="2">
        <f t="shared" ref="CT28:CT47" si="45">ROUND((ROUND((AF28*AV28*1),2)*BA28),2)</f>
        <v>0</v>
      </c>
      <c r="CU28" s="2">
        <f t="shared" ref="CU28:CU47" si="46">AG28</f>
        <v>0</v>
      </c>
      <c r="CV28" s="2">
        <f t="shared" ref="CV28:CV47" si="47">(AH28*AV28)</f>
        <v>0</v>
      </c>
      <c r="CW28" s="2">
        <f t="shared" ref="CW28:CW47" si="48">AI28</f>
        <v>0</v>
      </c>
      <c r="CX28" s="2">
        <f t="shared" ref="CX28:CX47" si="49">AJ28</f>
        <v>0</v>
      </c>
      <c r="CY28" s="2">
        <f>((S28*BZ28)/100)</f>
        <v>0</v>
      </c>
      <c r="CZ28" s="2">
        <f>((S28*CA28)/100)</f>
        <v>0</v>
      </c>
      <c r="DA28" s="2"/>
      <c r="DB28" s="2"/>
      <c r="DC28" s="2" t="s">
        <v>3</v>
      </c>
      <c r="DD28" s="2" t="s">
        <v>3</v>
      </c>
      <c r="DE28" s="2" t="s">
        <v>3</v>
      </c>
      <c r="DF28" s="2" t="s">
        <v>3</v>
      </c>
      <c r="DG28" s="2" t="s">
        <v>3</v>
      </c>
      <c r="DH28" s="2" t="s">
        <v>3</v>
      </c>
      <c r="DI28" s="2" t="s">
        <v>3</v>
      </c>
      <c r="DJ28" s="2" t="s">
        <v>3</v>
      </c>
      <c r="DK28" s="2" t="s">
        <v>3</v>
      </c>
      <c r="DL28" s="2" t="s">
        <v>3</v>
      </c>
      <c r="DM28" s="2" t="s">
        <v>3</v>
      </c>
      <c r="DN28" s="2">
        <v>0</v>
      </c>
      <c r="DO28" s="2">
        <v>0</v>
      </c>
      <c r="DP28" s="2">
        <v>1</v>
      </c>
      <c r="DQ28" s="2">
        <v>1</v>
      </c>
      <c r="DR28" s="2"/>
      <c r="DS28" s="2"/>
      <c r="DT28" s="2"/>
      <c r="DU28" s="2">
        <v>1005</v>
      </c>
      <c r="DV28" s="2" t="s">
        <v>17</v>
      </c>
      <c r="DW28" s="2" t="s">
        <v>17</v>
      </c>
      <c r="DX28" s="2">
        <v>1</v>
      </c>
      <c r="DY28" s="2"/>
      <c r="DZ28" s="2"/>
      <c r="EA28" s="2"/>
      <c r="EB28" s="2"/>
      <c r="EC28" s="2"/>
      <c r="ED28" s="2"/>
      <c r="EE28" s="2">
        <v>45706504</v>
      </c>
      <c r="EF28" s="2">
        <v>0</v>
      </c>
      <c r="EG28" s="2" t="s">
        <v>3</v>
      </c>
      <c r="EH28" s="2">
        <v>0</v>
      </c>
      <c r="EI28" s="2" t="s">
        <v>3</v>
      </c>
      <c r="EJ28" s="2">
        <v>4</v>
      </c>
      <c r="EK28" s="2">
        <v>0</v>
      </c>
      <c r="EL28" s="2" t="s">
        <v>18</v>
      </c>
      <c r="EM28" s="2" t="s">
        <v>19</v>
      </c>
      <c r="EN28" s="2"/>
      <c r="EO28" s="2" t="s">
        <v>3</v>
      </c>
      <c r="EP28" s="2"/>
      <c r="EQ28" s="2">
        <v>0</v>
      </c>
      <c r="ER28" s="2">
        <v>0</v>
      </c>
      <c r="ES28" s="2">
        <v>0</v>
      </c>
      <c r="ET28" s="2">
        <v>0</v>
      </c>
      <c r="EU28" s="2">
        <v>0</v>
      </c>
      <c r="EV28" s="2">
        <v>0</v>
      </c>
      <c r="EW28" s="2">
        <v>0</v>
      </c>
      <c r="EX28" s="2">
        <v>0</v>
      </c>
      <c r="EY28" s="2">
        <v>0</v>
      </c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>
        <v>0</v>
      </c>
      <c r="FR28" s="2">
        <f t="shared" ref="FR28:FR47" si="50">ROUND(IF(AND(BH28=3,BI28=3),P28,0),2)</f>
        <v>0</v>
      </c>
      <c r="FS28" s="2">
        <v>0</v>
      </c>
      <c r="FT28" s="2"/>
      <c r="FU28" s="2"/>
      <c r="FV28" s="2"/>
      <c r="FW28" s="2"/>
      <c r="FX28" s="2">
        <v>0</v>
      </c>
      <c r="FY28" s="2">
        <v>0</v>
      </c>
      <c r="FZ28" s="2"/>
      <c r="GA28" s="2" t="s">
        <v>3</v>
      </c>
      <c r="GB28" s="2"/>
      <c r="GC28" s="2"/>
      <c r="GD28" s="2">
        <v>1</v>
      </c>
      <c r="GE28" s="2"/>
      <c r="GF28" s="2">
        <v>-824083226</v>
      </c>
      <c r="GG28" s="2">
        <v>2</v>
      </c>
      <c r="GH28" s="2">
        <v>0</v>
      </c>
      <c r="GI28" s="2">
        <v>-2</v>
      </c>
      <c r="GJ28" s="2">
        <v>0</v>
      </c>
      <c r="GK28" s="2">
        <v>0</v>
      </c>
      <c r="GL28" s="2">
        <f t="shared" ref="GL28:GL47" si="51">ROUND(IF(AND(BH28=3,BI28=3,FS28&lt;&gt;0),P28,0),2)</f>
        <v>0</v>
      </c>
      <c r="GM28" s="2">
        <f>ROUND(O28+X28+Y28,2)+GX28</f>
        <v>0</v>
      </c>
      <c r="GN28" s="2">
        <f>IF(OR(BI28=0,BI28=1),ROUND(O28+X28+Y28,2),0)</f>
        <v>0</v>
      </c>
      <c r="GO28" s="2">
        <f>IF(BI28=2,ROUND(O28+X28+Y28,2),0)</f>
        <v>0</v>
      </c>
      <c r="GP28" s="2">
        <f>IF(BI28=4,ROUND(O28+X28+Y28,2)+GX28,0)</f>
        <v>0</v>
      </c>
      <c r="GQ28" s="2"/>
      <c r="GR28" s="2">
        <v>0</v>
      </c>
      <c r="GS28" s="2">
        <v>3</v>
      </c>
      <c r="GT28" s="2">
        <v>0</v>
      </c>
      <c r="GU28" s="2" t="s">
        <v>3</v>
      </c>
      <c r="GV28" s="2">
        <f t="shared" ref="GV28:GV47" si="52">ROUND((GT28),6)</f>
        <v>0</v>
      </c>
      <c r="GW28" s="2">
        <v>1</v>
      </c>
      <c r="GX28" s="2">
        <f t="shared" ref="GX28:GX47" si="53">ROUND(HC28*I28,2)</f>
        <v>0</v>
      </c>
      <c r="GY28" s="2"/>
      <c r="GZ28" s="2"/>
      <c r="HA28" s="2">
        <v>0</v>
      </c>
      <c r="HB28" s="2">
        <v>0</v>
      </c>
      <c r="HC28" s="2">
        <f t="shared" ref="HC28:HC47" si="54">GV28*GW28</f>
        <v>0</v>
      </c>
      <c r="HD28" s="2"/>
      <c r="HE28" s="2" t="s">
        <v>3</v>
      </c>
      <c r="HF28" s="2" t="s">
        <v>3</v>
      </c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>
        <v>0</v>
      </c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x14ac:dyDescent="0.2">
      <c r="A29">
        <v>17</v>
      </c>
      <c r="B29">
        <v>1</v>
      </c>
      <c r="E29" t="s">
        <v>15</v>
      </c>
      <c r="F29" t="s">
        <v>3</v>
      </c>
      <c r="G29" t="s">
        <v>16</v>
      </c>
      <c r="H29" t="s">
        <v>17</v>
      </c>
      <c r="I29">
        <v>120</v>
      </c>
      <c r="J29">
        <v>0</v>
      </c>
      <c r="O29">
        <f t="shared" si="21"/>
        <v>0</v>
      </c>
      <c r="P29">
        <f t="shared" si="22"/>
        <v>0</v>
      </c>
      <c r="Q29">
        <f t="shared" si="23"/>
        <v>0</v>
      </c>
      <c r="R29">
        <f t="shared" si="24"/>
        <v>0</v>
      </c>
      <c r="S29">
        <f t="shared" si="25"/>
        <v>0</v>
      </c>
      <c r="T29">
        <f t="shared" si="26"/>
        <v>0</v>
      </c>
      <c r="U29">
        <f t="shared" si="27"/>
        <v>0</v>
      </c>
      <c r="V29">
        <f t="shared" si="28"/>
        <v>0</v>
      </c>
      <c r="W29">
        <f t="shared" si="29"/>
        <v>0</v>
      </c>
      <c r="X29">
        <f t="shared" si="30"/>
        <v>0</v>
      </c>
      <c r="Y29">
        <f t="shared" si="31"/>
        <v>0</v>
      </c>
      <c r="AA29">
        <v>45747932</v>
      </c>
      <c r="AB29">
        <f t="shared" si="32"/>
        <v>0</v>
      </c>
      <c r="AC29">
        <f t="shared" si="33"/>
        <v>0</v>
      </c>
      <c r="AD29">
        <f t="shared" si="34"/>
        <v>0</v>
      </c>
      <c r="AE29">
        <f t="shared" si="35"/>
        <v>0</v>
      </c>
      <c r="AF29">
        <f t="shared" si="36"/>
        <v>0</v>
      </c>
      <c r="AG29">
        <f t="shared" si="37"/>
        <v>0</v>
      </c>
      <c r="AH29">
        <f t="shared" si="38"/>
        <v>0</v>
      </c>
      <c r="AI29">
        <f t="shared" si="39"/>
        <v>0</v>
      </c>
      <c r="AJ29">
        <f t="shared" si="40"/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1</v>
      </c>
      <c r="AW29">
        <v>1</v>
      </c>
      <c r="AZ29">
        <v>1</v>
      </c>
      <c r="BA29">
        <v>1</v>
      </c>
      <c r="BB29">
        <v>1</v>
      </c>
      <c r="BC29">
        <v>1</v>
      </c>
      <c r="BD29" t="s">
        <v>3</v>
      </c>
      <c r="BE29" t="s">
        <v>3</v>
      </c>
      <c r="BF29" t="s">
        <v>3</v>
      </c>
      <c r="BG29" t="s">
        <v>3</v>
      </c>
      <c r="BH29">
        <v>0</v>
      </c>
      <c r="BI29">
        <v>4</v>
      </c>
      <c r="BJ29" t="s">
        <v>3</v>
      </c>
      <c r="BM29">
        <v>0</v>
      </c>
      <c r="BN29">
        <v>0</v>
      </c>
      <c r="BO29" t="s">
        <v>3</v>
      </c>
      <c r="BP29">
        <v>0</v>
      </c>
      <c r="BQ29">
        <v>0</v>
      </c>
      <c r="BR29">
        <v>0</v>
      </c>
      <c r="BS29">
        <v>1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3</v>
      </c>
      <c r="BZ29">
        <v>0</v>
      </c>
      <c r="CA29">
        <v>0</v>
      </c>
      <c r="CE29">
        <v>30</v>
      </c>
      <c r="CF29">
        <v>0</v>
      </c>
      <c r="CG29">
        <v>0</v>
      </c>
      <c r="CM29">
        <v>0</v>
      </c>
      <c r="CN29" t="s">
        <v>3</v>
      </c>
      <c r="CO29">
        <v>0</v>
      </c>
      <c r="CP29">
        <f t="shared" si="41"/>
        <v>0</v>
      </c>
      <c r="CQ29">
        <f t="shared" si="42"/>
        <v>0</v>
      </c>
      <c r="CR29">
        <f t="shared" si="43"/>
        <v>0</v>
      </c>
      <c r="CS29">
        <f t="shared" si="44"/>
        <v>0</v>
      </c>
      <c r="CT29">
        <f t="shared" si="45"/>
        <v>0</v>
      </c>
      <c r="CU29">
        <f t="shared" si="46"/>
        <v>0</v>
      </c>
      <c r="CV29">
        <f t="shared" si="47"/>
        <v>0</v>
      </c>
      <c r="CW29">
        <f t="shared" si="48"/>
        <v>0</v>
      </c>
      <c r="CX29">
        <f t="shared" si="49"/>
        <v>0</v>
      </c>
      <c r="CY29">
        <f>S29*(BZ29/100)</f>
        <v>0</v>
      </c>
      <c r="CZ29">
        <f>S29*(CA29/100)</f>
        <v>0</v>
      </c>
      <c r="DC29" t="s">
        <v>3</v>
      </c>
      <c r="DD29" t="s">
        <v>3</v>
      </c>
      <c r="DE29" t="s">
        <v>3</v>
      </c>
      <c r="DF29" t="s">
        <v>3</v>
      </c>
      <c r="DG29" t="s">
        <v>3</v>
      </c>
      <c r="DH29" t="s">
        <v>3</v>
      </c>
      <c r="DI29" t="s">
        <v>3</v>
      </c>
      <c r="DJ29" t="s">
        <v>3</v>
      </c>
      <c r="DK29" t="s">
        <v>3</v>
      </c>
      <c r="DL29" t="s">
        <v>3</v>
      </c>
      <c r="DM29" t="s">
        <v>3</v>
      </c>
      <c r="DN29">
        <v>0</v>
      </c>
      <c r="DO29">
        <v>0</v>
      </c>
      <c r="DP29">
        <v>1</v>
      </c>
      <c r="DQ29">
        <v>1</v>
      </c>
      <c r="DU29">
        <v>1005</v>
      </c>
      <c r="DV29" t="s">
        <v>17</v>
      </c>
      <c r="DW29" t="s">
        <v>17</v>
      </c>
      <c r="DX29">
        <v>1</v>
      </c>
      <c r="EE29">
        <v>45706504</v>
      </c>
      <c r="EF29">
        <v>0</v>
      </c>
      <c r="EG29" t="s">
        <v>3</v>
      </c>
      <c r="EH29">
        <v>0</v>
      </c>
      <c r="EI29" t="s">
        <v>3</v>
      </c>
      <c r="EJ29">
        <v>4</v>
      </c>
      <c r="EK29">
        <v>0</v>
      </c>
      <c r="EL29" t="s">
        <v>18</v>
      </c>
      <c r="EM29" t="s">
        <v>19</v>
      </c>
      <c r="EO29" t="s">
        <v>3</v>
      </c>
      <c r="EQ29">
        <v>0</v>
      </c>
      <c r="ER29">
        <v>0</v>
      </c>
      <c r="ES29">
        <v>0</v>
      </c>
      <c r="ET29">
        <v>0</v>
      </c>
      <c r="EU29">
        <v>0</v>
      </c>
      <c r="EV29">
        <v>0</v>
      </c>
      <c r="EW29">
        <v>0</v>
      </c>
      <c r="EX29">
        <v>0</v>
      </c>
      <c r="EY29">
        <v>0</v>
      </c>
      <c r="FQ29">
        <v>0</v>
      </c>
      <c r="FR29">
        <f t="shared" si="50"/>
        <v>0</v>
      </c>
      <c r="FS29">
        <v>0</v>
      </c>
      <c r="FX29">
        <v>0</v>
      </c>
      <c r="FY29">
        <v>0</v>
      </c>
      <c r="GA29" t="s">
        <v>3</v>
      </c>
      <c r="GD29">
        <v>1</v>
      </c>
      <c r="GF29">
        <v>-824083226</v>
      </c>
      <c r="GG29">
        <v>2</v>
      </c>
      <c r="GH29">
        <v>0</v>
      </c>
      <c r="GI29">
        <v>5</v>
      </c>
      <c r="GJ29">
        <v>0</v>
      </c>
      <c r="GK29">
        <v>0</v>
      </c>
      <c r="GL29">
        <f t="shared" si="51"/>
        <v>0</v>
      </c>
      <c r="GM29">
        <f>ROUND(O29+X29+Y29,2)+GX29</f>
        <v>0</v>
      </c>
      <c r="GN29">
        <f>IF(OR(BI29=0,BI29=1),ROUND(O29+X29+Y29,2),0)</f>
        <v>0</v>
      </c>
      <c r="GO29">
        <f>IF(BI29=2,ROUND(O29+X29+Y29,2),0)</f>
        <v>0</v>
      </c>
      <c r="GP29">
        <f>IF(BI29=4,ROUND(O29+X29+Y29,2)+GX29,0)</f>
        <v>0</v>
      </c>
      <c r="GR29">
        <v>0</v>
      </c>
      <c r="GS29">
        <v>3</v>
      </c>
      <c r="GT29">
        <v>0</v>
      </c>
      <c r="GU29" t="s">
        <v>3</v>
      </c>
      <c r="GV29">
        <f t="shared" si="52"/>
        <v>0</v>
      </c>
      <c r="GW29">
        <v>1</v>
      </c>
      <c r="GX29">
        <f t="shared" si="53"/>
        <v>0</v>
      </c>
      <c r="HA29">
        <v>0</v>
      </c>
      <c r="HB29">
        <v>0</v>
      </c>
      <c r="HC29">
        <f t="shared" si="54"/>
        <v>0</v>
      </c>
      <c r="HE29" t="s">
        <v>3</v>
      </c>
      <c r="HF29" t="s">
        <v>3</v>
      </c>
      <c r="IK29">
        <v>0</v>
      </c>
    </row>
    <row r="30" spans="1:255" x14ac:dyDescent="0.2">
      <c r="A30" s="2">
        <v>17</v>
      </c>
      <c r="B30" s="2">
        <v>1</v>
      </c>
      <c r="C30" s="2">
        <f>ROW(SmtRes!A5)</f>
        <v>5</v>
      </c>
      <c r="D30" s="2">
        <f>ROW(EtalonRes!A5)</f>
        <v>5</v>
      </c>
      <c r="E30" s="2" t="s">
        <v>20</v>
      </c>
      <c r="F30" s="2" t="s">
        <v>21</v>
      </c>
      <c r="G30" s="2" t="s">
        <v>22</v>
      </c>
      <c r="H30" s="2" t="s">
        <v>23</v>
      </c>
      <c r="I30" s="2">
        <f>ROUND((I28*0.1)/100,9)</f>
        <v>0.12</v>
      </c>
      <c r="J30" s="2">
        <v>0</v>
      </c>
      <c r="K30" s="2"/>
      <c r="L30" s="2"/>
      <c r="M30" s="2"/>
      <c r="N30" s="2"/>
      <c r="O30" s="2">
        <f t="shared" si="21"/>
        <v>528.17999999999995</v>
      </c>
      <c r="P30" s="2">
        <f t="shared" si="22"/>
        <v>0</v>
      </c>
      <c r="Q30" s="2">
        <f t="shared" si="23"/>
        <v>325.63</v>
      </c>
      <c r="R30" s="2">
        <f t="shared" si="24"/>
        <v>88.23</v>
      </c>
      <c r="S30" s="2">
        <f t="shared" si="25"/>
        <v>202.55</v>
      </c>
      <c r="T30" s="2">
        <f t="shared" si="26"/>
        <v>0</v>
      </c>
      <c r="U30" s="2">
        <f t="shared" si="27"/>
        <v>18.599999999999998</v>
      </c>
      <c r="V30" s="2">
        <f t="shared" si="28"/>
        <v>0</v>
      </c>
      <c r="W30" s="2">
        <f t="shared" si="29"/>
        <v>0</v>
      </c>
      <c r="X30" s="2">
        <f t="shared" si="30"/>
        <v>162.04</v>
      </c>
      <c r="Y30" s="2">
        <f t="shared" si="31"/>
        <v>111.4</v>
      </c>
      <c r="Z30" s="2"/>
      <c r="AA30" s="2">
        <v>45748053</v>
      </c>
      <c r="AB30" s="2">
        <f t="shared" si="32"/>
        <v>4401.5</v>
      </c>
      <c r="AC30" s="2">
        <f t="shared" si="33"/>
        <v>0</v>
      </c>
      <c r="AD30" s="2">
        <f t="shared" si="34"/>
        <v>2713.55</v>
      </c>
      <c r="AE30" s="2">
        <f t="shared" si="35"/>
        <v>735.23</v>
      </c>
      <c r="AF30" s="2">
        <f t="shared" si="36"/>
        <v>1687.95</v>
      </c>
      <c r="AG30" s="2">
        <f t="shared" si="37"/>
        <v>0</v>
      </c>
      <c r="AH30" s="2">
        <f t="shared" si="38"/>
        <v>155</v>
      </c>
      <c r="AI30" s="2">
        <f t="shared" si="39"/>
        <v>0</v>
      </c>
      <c r="AJ30" s="2">
        <f t="shared" si="40"/>
        <v>0</v>
      </c>
      <c r="AK30" s="2">
        <v>4401.5</v>
      </c>
      <c r="AL30" s="2">
        <v>0</v>
      </c>
      <c r="AM30" s="2">
        <v>2713.55</v>
      </c>
      <c r="AN30" s="2">
        <v>735.23</v>
      </c>
      <c r="AO30" s="2">
        <v>1687.95</v>
      </c>
      <c r="AP30" s="2">
        <v>0</v>
      </c>
      <c r="AQ30" s="2">
        <v>155</v>
      </c>
      <c r="AR30" s="2">
        <v>0</v>
      </c>
      <c r="AS30" s="2">
        <v>0</v>
      </c>
      <c r="AT30" s="2">
        <v>80</v>
      </c>
      <c r="AU30" s="2">
        <v>55</v>
      </c>
      <c r="AV30" s="2">
        <v>1</v>
      </c>
      <c r="AW30" s="2">
        <v>1</v>
      </c>
      <c r="AX30" s="2"/>
      <c r="AY30" s="2"/>
      <c r="AZ30" s="2">
        <v>1</v>
      </c>
      <c r="BA30" s="2">
        <v>1</v>
      </c>
      <c r="BB30" s="2">
        <v>1</v>
      </c>
      <c r="BC30" s="2">
        <v>1</v>
      </c>
      <c r="BD30" s="2" t="s">
        <v>3</v>
      </c>
      <c r="BE30" s="2" t="s">
        <v>3</v>
      </c>
      <c r="BF30" s="2" t="s">
        <v>3</v>
      </c>
      <c r="BG30" s="2" t="s">
        <v>3</v>
      </c>
      <c r="BH30" s="2">
        <v>0</v>
      </c>
      <c r="BI30" s="2">
        <v>1</v>
      </c>
      <c r="BJ30" s="2" t="s">
        <v>24</v>
      </c>
      <c r="BK30" s="2"/>
      <c r="BL30" s="2"/>
      <c r="BM30" s="2">
        <v>674</v>
      </c>
      <c r="BN30" s="2">
        <v>0</v>
      </c>
      <c r="BO30" s="2" t="s">
        <v>3</v>
      </c>
      <c r="BP30" s="2">
        <v>0</v>
      </c>
      <c r="BQ30" s="2">
        <v>60</v>
      </c>
      <c r="BR30" s="2">
        <v>0</v>
      </c>
      <c r="BS30" s="2">
        <v>1</v>
      </c>
      <c r="BT30" s="2">
        <v>1</v>
      </c>
      <c r="BU30" s="2">
        <v>1</v>
      </c>
      <c r="BV30" s="2">
        <v>1</v>
      </c>
      <c r="BW30" s="2">
        <v>1</v>
      </c>
      <c r="BX30" s="2">
        <v>1</v>
      </c>
      <c r="BY30" s="2" t="s">
        <v>3</v>
      </c>
      <c r="BZ30" s="2">
        <v>80</v>
      </c>
      <c r="CA30" s="2">
        <v>55</v>
      </c>
      <c r="CB30" s="2"/>
      <c r="CC30" s="2"/>
      <c r="CD30" s="2"/>
      <c r="CE30" s="2">
        <v>30</v>
      </c>
      <c r="CF30" s="2">
        <v>0</v>
      </c>
      <c r="CG30" s="2">
        <v>0</v>
      </c>
      <c r="CH30" s="2"/>
      <c r="CI30" s="2"/>
      <c r="CJ30" s="2"/>
      <c r="CK30" s="2"/>
      <c r="CL30" s="2"/>
      <c r="CM30" s="2">
        <v>0</v>
      </c>
      <c r="CN30" s="2" t="s">
        <v>3</v>
      </c>
      <c r="CO30" s="2">
        <v>0</v>
      </c>
      <c r="CP30" s="2">
        <f t="shared" si="41"/>
        <v>528.18000000000006</v>
      </c>
      <c r="CQ30" s="2">
        <f t="shared" si="42"/>
        <v>0</v>
      </c>
      <c r="CR30" s="2">
        <f t="shared" si="43"/>
        <v>2713.55</v>
      </c>
      <c r="CS30" s="2">
        <f t="shared" si="44"/>
        <v>735.23</v>
      </c>
      <c r="CT30" s="2">
        <f t="shared" si="45"/>
        <v>1687.95</v>
      </c>
      <c r="CU30" s="2">
        <f t="shared" si="46"/>
        <v>0</v>
      </c>
      <c r="CV30" s="2">
        <f t="shared" si="47"/>
        <v>155</v>
      </c>
      <c r="CW30" s="2">
        <f t="shared" si="48"/>
        <v>0</v>
      </c>
      <c r="CX30" s="2">
        <f t="shared" si="49"/>
        <v>0</v>
      </c>
      <c r="CY30" s="2">
        <f>((S30*BZ30)/100)</f>
        <v>162.04</v>
      </c>
      <c r="CZ30" s="2">
        <f>((S30*CA30)/100)</f>
        <v>111.4025</v>
      </c>
      <c r="DA30" s="2"/>
      <c r="DB30" s="2"/>
      <c r="DC30" s="2" t="s">
        <v>3</v>
      </c>
      <c r="DD30" s="2" t="s">
        <v>3</v>
      </c>
      <c r="DE30" s="2" t="s">
        <v>3</v>
      </c>
      <c r="DF30" s="2" t="s">
        <v>3</v>
      </c>
      <c r="DG30" s="2" t="s">
        <v>3</v>
      </c>
      <c r="DH30" s="2" t="s">
        <v>3</v>
      </c>
      <c r="DI30" s="2" t="s">
        <v>3</v>
      </c>
      <c r="DJ30" s="2" t="s">
        <v>3</v>
      </c>
      <c r="DK30" s="2" t="s">
        <v>3</v>
      </c>
      <c r="DL30" s="2" t="s">
        <v>3</v>
      </c>
      <c r="DM30" s="2" t="s">
        <v>3</v>
      </c>
      <c r="DN30" s="2">
        <v>0</v>
      </c>
      <c r="DO30" s="2">
        <v>0</v>
      </c>
      <c r="DP30" s="2">
        <v>1</v>
      </c>
      <c r="DQ30" s="2">
        <v>1</v>
      </c>
      <c r="DR30" s="2"/>
      <c r="DS30" s="2"/>
      <c r="DT30" s="2"/>
      <c r="DU30" s="2">
        <v>1007</v>
      </c>
      <c r="DV30" s="2" t="s">
        <v>23</v>
      </c>
      <c r="DW30" s="2" t="s">
        <v>23</v>
      </c>
      <c r="DX30" s="2">
        <v>100</v>
      </c>
      <c r="DY30" s="2"/>
      <c r="DZ30" s="2"/>
      <c r="EA30" s="2"/>
      <c r="EB30" s="2"/>
      <c r="EC30" s="2"/>
      <c r="ED30" s="2"/>
      <c r="EE30" s="2">
        <v>45707134</v>
      </c>
      <c r="EF30" s="2">
        <v>60</v>
      </c>
      <c r="EG30" s="2" t="s">
        <v>25</v>
      </c>
      <c r="EH30" s="2">
        <v>0</v>
      </c>
      <c r="EI30" s="2" t="s">
        <v>3</v>
      </c>
      <c r="EJ30" s="2">
        <v>1</v>
      </c>
      <c r="EK30" s="2">
        <v>674</v>
      </c>
      <c r="EL30" s="2" t="s">
        <v>26</v>
      </c>
      <c r="EM30" s="2" t="s">
        <v>27</v>
      </c>
      <c r="EN30" s="2"/>
      <c r="EO30" s="2" t="s">
        <v>3</v>
      </c>
      <c r="EP30" s="2"/>
      <c r="EQ30" s="2">
        <v>0</v>
      </c>
      <c r="ER30" s="2">
        <v>4401.5</v>
      </c>
      <c r="ES30" s="2">
        <v>0</v>
      </c>
      <c r="ET30" s="2">
        <v>2713.55</v>
      </c>
      <c r="EU30" s="2">
        <v>735.23</v>
      </c>
      <c r="EV30" s="2">
        <v>1687.95</v>
      </c>
      <c r="EW30" s="2">
        <v>155</v>
      </c>
      <c r="EX30" s="2">
        <v>0</v>
      </c>
      <c r="EY30" s="2">
        <v>0</v>
      </c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>
        <v>0</v>
      </c>
      <c r="FR30" s="2">
        <f t="shared" si="50"/>
        <v>0</v>
      </c>
      <c r="FS30" s="2">
        <v>0</v>
      </c>
      <c r="FT30" s="2"/>
      <c r="FU30" s="2"/>
      <c r="FV30" s="2"/>
      <c r="FW30" s="2"/>
      <c r="FX30" s="2">
        <v>80</v>
      </c>
      <c r="FY30" s="2">
        <v>55</v>
      </c>
      <c r="FZ30" s="2"/>
      <c r="GA30" s="2" t="s">
        <v>3</v>
      </c>
      <c r="GB30" s="2"/>
      <c r="GC30" s="2"/>
      <c r="GD30" s="2">
        <v>0</v>
      </c>
      <c r="GE30" s="2"/>
      <c r="GF30" s="2">
        <v>462798223</v>
      </c>
      <c r="GG30" s="2">
        <v>2</v>
      </c>
      <c r="GH30" s="2">
        <v>1</v>
      </c>
      <c r="GI30" s="2">
        <v>-2</v>
      </c>
      <c r="GJ30" s="2">
        <v>0</v>
      </c>
      <c r="GK30" s="2">
        <f>ROUND(R30*(R12)/100,2)</f>
        <v>154.4</v>
      </c>
      <c r="GL30" s="2">
        <f t="shared" si="51"/>
        <v>0</v>
      </c>
      <c r="GM30" s="2">
        <f t="shared" ref="GM30:GM35" si="55">ROUND(O30+X30+Y30+GK30,2)+GX30</f>
        <v>956.02</v>
      </c>
      <c r="GN30" s="2">
        <f t="shared" ref="GN30:GN35" si="56">IF(OR(BI30=0,BI30=1),ROUND(O30+X30+Y30+GK30,2),0)</f>
        <v>956.02</v>
      </c>
      <c r="GO30" s="2">
        <f t="shared" ref="GO30:GO35" si="57">IF(BI30=2,ROUND(O30+X30+Y30+GK30,2),0)</f>
        <v>0</v>
      </c>
      <c r="GP30" s="2">
        <f t="shared" ref="GP30:GP35" si="58">IF(BI30=4,ROUND(O30+X30+Y30+GK30,2)+GX30,0)</f>
        <v>0</v>
      </c>
      <c r="GQ30" s="2"/>
      <c r="GR30" s="2">
        <v>0</v>
      </c>
      <c r="GS30" s="2">
        <v>3</v>
      </c>
      <c r="GT30" s="2">
        <v>0</v>
      </c>
      <c r="GU30" s="2" t="s">
        <v>3</v>
      </c>
      <c r="GV30" s="2">
        <f t="shared" si="52"/>
        <v>0</v>
      </c>
      <c r="GW30" s="2">
        <v>1</v>
      </c>
      <c r="GX30" s="2">
        <f t="shared" si="53"/>
        <v>0</v>
      </c>
      <c r="GY30" s="2"/>
      <c r="GZ30" s="2"/>
      <c r="HA30" s="2">
        <v>0</v>
      </c>
      <c r="HB30" s="2">
        <v>0</v>
      </c>
      <c r="HC30" s="2">
        <f t="shared" si="54"/>
        <v>0</v>
      </c>
      <c r="HD30" s="2"/>
      <c r="HE30" s="2" t="s">
        <v>3</v>
      </c>
      <c r="HF30" s="2" t="s">
        <v>3</v>
      </c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>
        <v>0</v>
      </c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x14ac:dyDescent="0.2">
      <c r="A31">
        <v>17</v>
      </c>
      <c r="B31">
        <v>1</v>
      </c>
      <c r="C31">
        <f>ROW(SmtRes!A10)</f>
        <v>10</v>
      </c>
      <c r="D31">
        <f>ROW(EtalonRes!A10)</f>
        <v>10</v>
      </c>
      <c r="E31" t="s">
        <v>20</v>
      </c>
      <c r="F31" t="s">
        <v>21</v>
      </c>
      <c r="G31" t="s">
        <v>22</v>
      </c>
      <c r="H31" t="s">
        <v>23</v>
      </c>
      <c r="I31">
        <f>ROUND((I29*0.1)/100,9)</f>
        <v>0.12</v>
      </c>
      <c r="J31">
        <v>0</v>
      </c>
      <c r="O31">
        <f t="shared" si="21"/>
        <v>8821.7999999999993</v>
      </c>
      <c r="P31">
        <f t="shared" si="22"/>
        <v>0</v>
      </c>
      <c r="Q31">
        <f t="shared" si="23"/>
        <v>3731.72</v>
      </c>
      <c r="R31">
        <f t="shared" si="24"/>
        <v>2217.2199999999998</v>
      </c>
      <c r="S31">
        <f t="shared" si="25"/>
        <v>5090.08</v>
      </c>
      <c r="T31">
        <f t="shared" si="26"/>
        <v>0</v>
      </c>
      <c r="U31">
        <f t="shared" si="27"/>
        <v>18.599999999999998</v>
      </c>
      <c r="V31">
        <f t="shared" si="28"/>
        <v>0</v>
      </c>
      <c r="W31">
        <f t="shared" si="29"/>
        <v>0</v>
      </c>
      <c r="X31">
        <f t="shared" si="30"/>
        <v>3461.25</v>
      </c>
      <c r="Y31">
        <f t="shared" si="31"/>
        <v>2086.9299999999998</v>
      </c>
      <c r="AA31">
        <v>45747932</v>
      </c>
      <c r="AB31">
        <f t="shared" si="32"/>
        <v>4401.5</v>
      </c>
      <c r="AC31">
        <f t="shared" si="33"/>
        <v>0</v>
      </c>
      <c r="AD31">
        <f t="shared" si="34"/>
        <v>2713.55</v>
      </c>
      <c r="AE31">
        <f t="shared" si="35"/>
        <v>735.23</v>
      </c>
      <c r="AF31">
        <f t="shared" si="36"/>
        <v>1687.95</v>
      </c>
      <c r="AG31">
        <f t="shared" si="37"/>
        <v>0</v>
      </c>
      <c r="AH31">
        <f t="shared" si="38"/>
        <v>155</v>
      </c>
      <c r="AI31">
        <f t="shared" si="39"/>
        <v>0</v>
      </c>
      <c r="AJ31">
        <f t="shared" si="40"/>
        <v>0</v>
      </c>
      <c r="AK31">
        <v>4401.5</v>
      </c>
      <c r="AL31">
        <v>0</v>
      </c>
      <c r="AM31">
        <v>2713.55</v>
      </c>
      <c r="AN31">
        <v>735.23</v>
      </c>
      <c r="AO31">
        <v>1687.95</v>
      </c>
      <c r="AP31">
        <v>0</v>
      </c>
      <c r="AQ31">
        <v>155</v>
      </c>
      <c r="AR31">
        <v>0</v>
      </c>
      <c r="AS31">
        <v>0</v>
      </c>
      <c r="AT31">
        <v>68</v>
      </c>
      <c r="AU31">
        <v>41</v>
      </c>
      <c r="AV31">
        <v>1</v>
      </c>
      <c r="AW31">
        <v>1</v>
      </c>
      <c r="AZ31">
        <v>1</v>
      </c>
      <c r="BA31">
        <v>25.13</v>
      </c>
      <c r="BB31">
        <v>11.46</v>
      </c>
      <c r="BC31">
        <v>1</v>
      </c>
      <c r="BD31" t="s">
        <v>3</v>
      </c>
      <c r="BE31" t="s">
        <v>3</v>
      </c>
      <c r="BF31" t="s">
        <v>3</v>
      </c>
      <c r="BG31" t="s">
        <v>3</v>
      </c>
      <c r="BH31">
        <v>0</v>
      </c>
      <c r="BI31">
        <v>1</v>
      </c>
      <c r="BJ31" t="s">
        <v>24</v>
      </c>
      <c r="BM31">
        <v>674</v>
      </c>
      <c r="BN31">
        <v>0</v>
      </c>
      <c r="BO31" t="s">
        <v>21</v>
      </c>
      <c r="BP31">
        <v>1</v>
      </c>
      <c r="BQ31">
        <v>60</v>
      </c>
      <c r="BR31">
        <v>0</v>
      </c>
      <c r="BS31">
        <v>25.13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3</v>
      </c>
      <c r="BZ31">
        <v>68</v>
      </c>
      <c r="CA31">
        <v>41</v>
      </c>
      <c r="CE31">
        <v>30</v>
      </c>
      <c r="CF31">
        <v>0</v>
      </c>
      <c r="CG31">
        <v>0</v>
      </c>
      <c r="CM31">
        <v>0</v>
      </c>
      <c r="CN31" t="s">
        <v>3</v>
      </c>
      <c r="CO31">
        <v>0</v>
      </c>
      <c r="CP31">
        <f t="shared" si="41"/>
        <v>8821.7999999999993</v>
      </c>
      <c r="CQ31">
        <f t="shared" si="42"/>
        <v>0</v>
      </c>
      <c r="CR31">
        <f t="shared" si="43"/>
        <v>31097.279999999999</v>
      </c>
      <c r="CS31">
        <f t="shared" si="44"/>
        <v>18476.330000000002</v>
      </c>
      <c r="CT31">
        <f t="shared" si="45"/>
        <v>42418.18</v>
      </c>
      <c r="CU31">
        <f t="shared" si="46"/>
        <v>0</v>
      </c>
      <c r="CV31">
        <f t="shared" si="47"/>
        <v>155</v>
      </c>
      <c r="CW31">
        <f t="shared" si="48"/>
        <v>0</v>
      </c>
      <c r="CX31">
        <f t="shared" si="49"/>
        <v>0</v>
      </c>
      <c r="CY31">
        <f>S31*(BZ31/100)</f>
        <v>3461.2544000000003</v>
      </c>
      <c r="CZ31">
        <f>S31*(CA31/100)</f>
        <v>2086.9328</v>
      </c>
      <c r="DC31" t="s">
        <v>3</v>
      </c>
      <c r="DD31" t="s">
        <v>3</v>
      </c>
      <c r="DE31" t="s">
        <v>3</v>
      </c>
      <c r="DF31" t="s">
        <v>3</v>
      </c>
      <c r="DG31" t="s">
        <v>3</v>
      </c>
      <c r="DH31" t="s">
        <v>3</v>
      </c>
      <c r="DI31" t="s">
        <v>3</v>
      </c>
      <c r="DJ31" t="s">
        <v>3</v>
      </c>
      <c r="DK31" t="s">
        <v>3</v>
      </c>
      <c r="DL31" t="s">
        <v>3</v>
      </c>
      <c r="DM31" t="s">
        <v>3</v>
      </c>
      <c r="DN31">
        <v>80</v>
      </c>
      <c r="DO31">
        <v>55</v>
      </c>
      <c r="DP31">
        <v>1</v>
      </c>
      <c r="DQ31">
        <v>1</v>
      </c>
      <c r="DU31">
        <v>1007</v>
      </c>
      <c r="DV31" t="s">
        <v>23</v>
      </c>
      <c r="DW31" t="s">
        <v>23</v>
      </c>
      <c r="DX31">
        <v>100</v>
      </c>
      <c r="EE31">
        <v>45707134</v>
      </c>
      <c r="EF31">
        <v>60</v>
      </c>
      <c r="EG31" t="s">
        <v>25</v>
      </c>
      <c r="EH31">
        <v>0</v>
      </c>
      <c r="EI31" t="s">
        <v>3</v>
      </c>
      <c r="EJ31">
        <v>1</v>
      </c>
      <c r="EK31">
        <v>674</v>
      </c>
      <c r="EL31" t="s">
        <v>26</v>
      </c>
      <c r="EM31" t="s">
        <v>27</v>
      </c>
      <c r="EO31" t="s">
        <v>3</v>
      </c>
      <c r="EQ31">
        <v>0</v>
      </c>
      <c r="ER31">
        <v>4401.5</v>
      </c>
      <c r="ES31">
        <v>0</v>
      </c>
      <c r="ET31">
        <v>2713.55</v>
      </c>
      <c r="EU31">
        <v>735.23</v>
      </c>
      <c r="EV31">
        <v>1687.95</v>
      </c>
      <c r="EW31">
        <v>155</v>
      </c>
      <c r="EX31">
        <v>0</v>
      </c>
      <c r="EY31">
        <v>0</v>
      </c>
      <c r="FQ31">
        <v>0</v>
      </c>
      <c r="FR31">
        <f t="shared" si="50"/>
        <v>0</v>
      </c>
      <c r="FS31">
        <v>0</v>
      </c>
      <c r="FX31">
        <v>80</v>
      </c>
      <c r="FY31">
        <v>55</v>
      </c>
      <c r="GA31" t="s">
        <v>3</v>
      </c>
      <c r="GD31">
        <v>0</v>
      </c>
      <c r="GF31">
        <v>462798223</v>
      </c>
      <c r="GG31">
        <v>2</v>
      </c>
      <c r="GH31">
        <v>1</v>
      </c>
      <c r="GI31">
        <v>2</v>
      </c>
      <c r="GJ31">
        <v>0</v>
      </c>
      <c r="GK31">
        <f>ROUND(R31*(S12)/100,2)</f>
        <v>3481.04</v>
      </c>
      <c r="GL31">
        <f t="shared" si="51"/>
        <v>0</v>
      </c>
      <c r="GM31">
        <f t="shared" si="55"/>
        <v>17851.02</v>
      </c>
      <c r="GN31">
        <f t="shared" si="56"/>
        <v>17851.02</v>
      </c>
      <c r="GO31">
        <f t="shared" si="57"/>
        <v>0</v>
      </c>
      <c r="GP31">
        <f t="shared" si="58"/>
        <v>0</v>
      </c>
      <c r="GR31">
        <v>0</v>
      </c>
      <c r="GS31">
        <v>3</v>
      </c>
      <c r="GT31">
        <v>0</v>
      </c>
      <c r="GU31" t="s">
        <v>3</v>
      </c>
      <c r="GV31">
        <f t="shared" si="52"/>
        <v>0</v>
      </c>
      <c r="GW31">
        <v>1</v>
      </c>
      <c r="GX31">
        <f t="shared" si="53"/>
        <v>0</v>
      </c>
      <c r="HA31">
        <v>0</v>
      </c>
      <c r="HB31">
        <v>0</v>
      </c>
      <c r="HC31">
        <f t="shared" si="54"/>
        <v>0</v>
      </c>
      <c r="HE31" t="s">
        <v>3</v>
      </c>
      <c r="HF31" t="s">
        <v>3</v>
      </c>
      <c r="IK31">
        <v>0</v>
      </c>
    </row>
    <row r="32" spans="1:255" x14ac:dyDescent="0.2">
      <c r="A32" s="2">
        <v>17</v>
      </c>
      <c r="B32" s="2">
        <v>1</v>
      </c>
      <c r="C32" s="2">
        <f>ROW(SmtRes!A11)</f>
        <v>11</v>
      </c>
      <c r="D32" s="2">
        <f>ROW(EtalonRes!A11)</f>
        <v>11</v>
      </c>
      <c r="E32" s="2" t="s">
        <v>28</v>
      </c>
      <c r="F32" s="2" t="s">
        <v>29</v>
      </c>
      <c r="G32" s="2" t="s">
        <v>30</v>
      </c>
      <c r="H32" s="2" t="s">
        <v>31</v>
      </c>
      <c r="I32" s="2">
        <f>ROUND(I30*100*2.4*0.95,9)</f>
        <v>27.36</v>
      </c>
      <c r="J32" s="2">
        <v>0</v>
      </c>
      <c r="K32" s="2"/>
      <c r="L32" s="2"/>
      <c r="M32" s="2"/>
      <c r="N32" s="2"/>
      <c r="O32" s="2">
        <f t="shared" si="21"/>
        <v>242.41</v>
      </c>
      <c r="P32" s="2">
        <f t="shared" si="22"/>
        <v>0</v>
      </c>
      <c r="Q32" s="2">
        <f t="shared" si="23"/>
        <v>242.41</v>
      </c>
      <c r="R32" s="2">
        <f t="shared" si="24"/>
        <v>40.49</v>
      </c>
      <c r="S32" s="2">
        <f t="shared" si="25"/>
        <v>0</v>
      </c>
      <c r="T32" s="2">
        <f t="shared" si="26"/>
        <v>0</v>
      </c>
      <c r="U32" s="2">
        <f t="shared" si="27"/>
        <v>0</v>
      </c>
      <c r="V32" s="2">
        <f t="shared" si="28"/>
        <v>0</v>
      </c>
      <c r="W32" s="2">
        <f t="shared" si="29"/>
        <v>0</v>
      </c>
      <c r="X32" s="2">
        <f t="shared" si="30"/>
        <v>0</v>
      </c>
      <c r="Y32" s="2">
        <f t="shared" si="31"/>
        <v>0</v>
      </c>
      <c r="Z32" s="2"/>
      <c r="AA32" s="2">
        <v>45748053</v>
      </c>
      <c r="AB32" s="2">
        <f t="shared" si="32"/>
        <v>8.86</v>
      </c>
      <c r="AC32" s="2">
        <f t="shared" si="33"/>
        <v>0</v>
      </c>
      <c r="AD32" s="2">
        <f t="shared" si="34"/>
        <v>8.86</v>
      </c>
      <c r="AE32" s="2">
        <f t="shared" si="35"/>
        <v>1.48</v>
      </c>
      <c r="AF32" s="2">
        <f t="shared" si="36"/>
        <v>0</v>
      </c>
      <c r="AG32" s="2">
        <f t="shared" si="37"/>
        <v>0</v>
      </c>
      <c r="AH32" s="2">
        <f t="shared" si="38"/>
        <v>0</v>
      </c>
      <c r="AI32" s="2">
        <f t="shared" si="39"/>
        <v>0</v>
      </c>
      <c r="AJ32" s="2">
        <f t="shared" si="40"/>
        <v>0</v>
      </c>
      <c r="AK32" s="2">
        <v>8.86</v>
      </c>
      <c r="AL32" s="2">
        <v>0</v>
      </c>
      <c r="AM32" s="2">
        <v>8.86</v>
      </c>
      <c r="AN32" s="2">
        <v>1.48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91</v>
      </c>
      <c r="AU32" s="2">
        <v>70</v>
      </c>
      <c r="AV32" s="2">
        <v>1</v>
      </c>
      <c r="AW32" s="2">
        <v>1</v>
      </c>
      <c r="AX32" s="2"/>
      <c r="AY32" s="2"/>
      <c r="AZ32" s="2">
        <v>1</v>
      </c>
      <c r="BA32" s="2">
        <v>1</v>
      </c>
      <c r="BB32" s="2">
        <v>1</v>
      </c>
      <c r="BC32" s="2">
        <v>1</v>
      </c>
      <c r="BD32" s="2" t="s">
        <v>3</v>
      </c>
      <c r="BE32" s="2" t="s">
        <v>3</v>
      </c>
      <c r="BF32" s="2" t="s">
        <v>3</v>
      </c>
      <c r="BG32" s="2" t="s">
        <v>3</v>
      </c>
      <c r="BH32" s="2">
        <v>0</v>
      </c>
      <c r="BI32" s="2">
        <v>1</v>
      </c>
      <c r="BJ32" s="2" t="s">
        <v>32</v>
      </c>
      <c r="BK32" s="2"/>
      <c r="BL32" s="2"/>
      <c r="BM32" s="2">
        <v>658</v>
      </c>
      <c r="BN32" s="2">
        <v>0</v>
      </c>
      <c r="BO32" s="2" t="s">
        <v>3</v>
      </c>
      <c r="BP32" s="2">
        <v>0</v>
      </c>
      <c r="BQ32" s="2">
        <v>60</v>
      </c>
      <c r="BR32" s="2">
        <v>0</v>
      </c>
      <c r="BS32" s="2">
        <v>1</v>
      </c>
      <c r="BT32" s="2">
        <v>1</v>
      </c>
      <c r="BU32" s="2">
        <v>1</v>
      </c>
      <c r="BV32" s="2">
        <v>1</v>
      </c>
      <c r="BW32" s="2">
        <v>1</v>
      </c>
      <c r="BX32" s="2">
        <v>1</v>
      </c>
      <c r="BY32" s="2" t="s">
        <v>3</v>
      </c>
      <c r="BZ32" s="2">
        <v>91</v>
      </c>
      <c r="CA32" s="2">
        <v>70</v>
      </c>
      <c r="CB32" s="2"/>
      <c r="CC32" s="2"/>
      <c r="CD32" s="2"/>
      <c r="CE32" s="2">
        <v>30</v>
      </c>
      <c r="CF32" s="2">
        <v>0</v>
      </c>
      <c r="CG32" s="2">
        <v>0</v>
      </c>
      <c r="CH32" s="2"/>
      <c r="CI32" s="2"/>
      <c r="CJ32" s="2"/>
      <c r="CK32" s="2"/>
      <c r="CL32" s="2"/>
      <c r="CM32" s="2">
        <v>0</v>
      </c>
      <c r="CN32" s="2" t="s">
        <v>3</v>
      </c>
      <c r="CO32" s="2">
        <v>0</v>
      </c>
      <c r="CP32" s="2">
        <f t="shared" si="41"/>
        <v>242.41</v>
      </c>
      <c r="CQ32" s="2">
        <f t="shared" si="42"/>
        <v>0</v>
      </c>
      <c r="CR32" s="2">
        <f t="shared" si="43"/>
        <v>8.86</v>
      </c>
      <c r="CS32" s="2">
        <f t="shared" si="44"/>
        <v>1.48</v>
      </c>
      <c r="CT32" s="2">
        <f t="shared" si="45"/>
        <v>0</v>
      </c>
      <c r="CU32" s="2">
        <f t="shared" si="46"/>
        <v>0</v>
      </c>
      <c r="CV32" s="2">
        <f t="shared" si="47"/>
        <v>0</v>
      </c>
      <c r="CW32" s="2">
        <f t="shared" si="48"/>
        <v>0</v>
      </c>
      <c r="CX32" s="2">
        <f t="shared" si="49"/>
        <v>0</v>
      </c>
      <c r="CY32" s="2">
        <f>((S32*BZ32)/100)</f>
        <v>0</v>
      </c>
      <c r="CZ32" s="2">
        <f>((S32*CA32)/100)</f>
        <v>0</v>
      </c>
      <c r="DA32" s="2"/>
      <c r="DB32" s="2"/>
      <c r="DC32" s="2" t="s">
        <v>3</v>
      </c>
      <c r="DD32" s="2" t="s">
        <v>3</v>
      </c>
      <c r="DE32" s="2" t="s">
        <v>3</v>
      </c>
      <c r="DF32" s="2" t="s">
        <v>3</v>
      </c>
      <c r="DG32" s="2" t="s">
        <v>3</v>
      </c>
      <c r="DH32" s="2" t="s">
        <v>3</v>
      </c>
      <c r="DI32" s="2" t="s">
        <v>3</v>
      </c>
      <c r="DJ32" s="2" t="s">
        <v>3</v>
      </c>
      <c r="DK32" s="2" t="s">
        <v>3</v>
      </c>
      <c r="DL32" s="2" t="s">
        <v>3</v>
      </c>
      <c r="DM32" s="2" t="s">
        <v>3</v>
      </c>
      <c r="DN32" s="2">
        <v>0</v>
      </c>
      <c r="DO32" s="2">
        <v>0</v>
      </c>
      <c r="DP32" s="2">
        <v>1</v>
      </c>
      <c r="DQ32" s="2">
        <v>1</v>
      </c>
      <c r="DR32" s="2"/>
      <c r="DS32" s="2"/>
      <c r="DT32" s="2"/>
      <c r="DU32" s="2">
        <v>1013</v>
      </c>
      <c r="DV32" s="2" t="s">
        <v>31</v>
      </c>
      <c r="DW32" s="2" t="s">
        <v>31</v>
      </c>
      <c r="DX32" s="2">
        <v>1</v>
      </c>
      <c r="DY32" s="2"/>
      <c r="DZ32" s="2"/>
      <c r="EA32" s="2"/>
      <c r="EB32" s="2"/>
      <c r="EC32" s="2"/>
      <c r="ED32" s="2"/>
      <c r="EE32" s="2">
        <v>45707118</v>
      </c>
      <c r="EF32" s="2">
        <v>60</v>
      </c>
      <c r="EG32" s="2" t="s">
        <v>25</v>
      </c>
      <c r="EH32" s="2">
        <v>0</v>
      </c>
      <c r="EI32" s="2" t="s">
        <v>3</v>
      </c>
      <c r="EJ32" s="2">
        <v>1</v>
      </c>
      <c r="EK32" s="2">
        <v>658</v>
      </c>
      <c r="EL32" s="2" t="s">
        <v>33</v>
      </c>
      <c r="EM32" s="2" t="s">
        <v>34</v>
      </c>
      <c r="EN32" s="2"/>
      <c r="EO32" s="2" t="s">
        <v>3</v>
      </c>
      <c r="EP32" s="2"/>
      <c r="EQ32" s="2">
        <v>0</v>
      </c>
      <c r="ER32" s="2">
        <v>8.86</v>
      </c>
      <c r="ES32" s="2">
        <v>0</v>
      </c>
      <c r="ET32" s="2">
        <v>8.86</v>
      </c>
      <c r="EU32" s="2">
        <v>1.48</v>
      </c>
      <c r="EV32" s="2">
        <v>0</v>
      </c>
      <c r="EW32" s="2">
        <v>0</v>
      </c>
      <c r="EX32" s="2">
        <v>0</v>
      </c>
      <c r="EY32" s="2">
        <v>0</v>
      </c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>
        <v>0</v>
      </c>
      <c r="FR32" s="2">
        <f t="shared" si="50"/>
        <v>0</v>
      </c>
      <c r="FS32" s="2">
        <v>0</v>
      </c>
      <c r="FT32" s="2"/>
      <c r="FU32" s="2"/>
      <c r="FV32" s="2"/>
      <c r="FW32" s="2"/>
      <c r="FX32" s="2">
        <v>91</v>
      </c>
      <c r="FY32" s="2">
        <v>70</v>
      </c>
      <c r="FZ32" s="2"/>
      <c r="GA32" s="2" t="s">
        <v>3</v>
      </c>
      <c r="GB32" s="2"/>
      <c r="GC32" s="2"/>
      <c r="GD32" s="2">
        <v>0</v>
      </c>
      <c r="GE32" s="2"/>
      <c r="GF32" s="2">
        <v>-1983005167</v>
      </c>
      <c r="GG32" s="2">
        <v>2</v>
      </c>
      <c r="GH32" s="2">
        <v>1</v>
      </c>
      <c r="GI32" s="2">
        <v>-2</v>
      </c>
      <c r="GJ32" s="2">
        <v>0</v>
      </c>
      <c r="GK32" s="2">
        <f>ROUND(R32*(R12)/100,2)</f>
        <v>70.86</v>
      </c>
      <c r="GL32" s="2">
        <f t="shared" si="51"/>
        <v>0</v>
      </c>
      <c r="GM32" s="2">
        <f t="shared" si="55"/>
        <v>313.27</v>
      </c>
      <c r="GN32" s="2">
        <f t="shared" si="56"/>
        <v>313.27</v>
      </c>
      <c r="GO32" s="2">
        <f t="shared" si="57"/>
        <v>0</v>
      </c>
      <c r="GP32" s="2">
        <f t="shared" si="58"/>
        <v>0</v>
      </c>
      <c r="GQ32" s="2"/>
      <c r="GR32" s="2">
        <v>0</v>
      </c>
      <c r="GS32" s="2">
        <v>3</v>
      </c>
      <c r="GT32" s="2">
        <v>0</v>
      </c>
      <c r="GU32" s="2" t="s">
        <v>3</v>
      </c>
      <c r="GV32" s="2">
        <f t="shared" si="52"/>
        <v>0</v>
      </c>
      <c r="GW32" s="2">
        <v>1</v>
      </c>
      <c r="GX32" s="2">
        <f t="shared" si="53"/>
        <v>0</v>
      </c>
      <c r="GY32" s="2"/>
      <c r="GZ32" s="2"/>
      <c r="HA32" s="2">
        <v>0</v>
      </c>
      <c r="HB32" s="2">
        <v>0</v>
      </c>
      <c r="HC32" s="2">
        <f t="shared" si="54"/>
        <v>0</v>
      </c>
      <c r="HD32" s="2"/>
      <c r="HE32" s="2" t="s">
        <v>3</v>
      </c>
      <c r="HF32" s="2" t="s">
        <v>3</v>
      </c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>
        <v>0</v>
      </c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x14ac:dyDescent="0.2">
      <c r="A33">
        <v>17</v>
      </c>
      <c r="B33">
        <v>1</v>
      </c>
      <c r="C33">
        <f>ROW(SmtRes!A12)</f>
        <v>12</v>
      </c>
      <c r="D33">
        <f>ROW(EtalonRes!A12)</f>
        <v>12</v>
      </c>
      <c r="E33" t="s">
        <v>28</v>
      </c>
      <c r="F33" t="s">
        <v>29</v>
      </c>
      <c r="G33" t="s">
        <v>30</v>
      </c>
      <c r="H33" t="s">
        <v>31</v>
      </c>
      <c r="I33">
        <f>ROUND(I31*100*2.4*0.95,9)</f>
        <v>27.36</v>
      </c>
      <c r="J33">
        <v>0</v>
      </c>
      <c r="O33">
        <f t="shared" si="21"/>
        <v>2181.69</v>
      </c>
      <c r="P33">
        <f t="shared" si="22"/>
        <v>0</v>
      </c>
      <c r="Q33">
        <f t="shared" si="23"/>
        <v>2181.69</v>
      </c>
      <c r="R33">
        <f t="shared" si="24"/>
        <v>1017.51</v>
      </c>
      <c r="S33">
        <f t="shared" si="25"/>
        <v>0</v>
      </c>
      <c r="T33">
        <f t="shared" si="26"/>
        <v>0</v>
      </c>
      <c r="U33">
        <f t="shared" si="27"/>
        <v>0</v>
      </c>
      <c r="V33">
        <f t="shared" si="28"/>
        <v>0</v>
      </c>
      <c r="W33">
        <f t="shared" si="29"/>
        <v>0</v>
      </c>
      <c r="X33">
        <f t="shared" si="30"/>
        <v>0</v>
      </c>
      <c r="Y33">
        <f t="shared" si="31"/>
        <v>0</v>
      </c>
      <c r="AA33">
        <v>45747932</v>
      </c>
      <c r="AB33">
        <f t="shared" si="32"/>
        <v>8.86</v>
      </c>
      <c r="AC33">
        <f t="shared" si="33"/>
        <v>0</v>
      </c>
      <c r="AD33">
        <f t="shared" si="34"/>
        <v>8.86</v>
      </c>
      <c r="AE33">
        <f t="shared" si="35"/>
        <v>1.48</v>
      </c>
      <c r="AF33">
        <f t="shared" si="36"/>
        <v>0</v>
      </c>
      <c r="AG33">
        <f t="shared" si="37"/>
        <v>0</v>
      </c>
      <c r="AH33">
        <f t="shared" si="38"/>
        <v>0</v>
      </c>
      <c r="AI33">
        <f t="shared" si="39"/>
        <v>0</v>
      </c>
      <c r="AJ33">
        <f t="shared" si="40"/>
        <v>0</v>
      </c>
      <c r="AK33">
        <v>8.86</v>
      </c>
      <c r="AL33">
        <v>0</v>
      </c>
      <c r="AM33">
        <v>8.86</v>
      </c>
      <c r="AN33">
        <v>1.48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73</v>
      </c>
      <c r="AU33">
        <v>41</v>
      </c>
      <c r="AV33">
        <v>1</v>
      </c>
      <c r="AW33">
        <v>1</v>
      </c>
      <c r="AZ33">
        <v>1</v>
      </c>
      <c r="BA33">
        <v>25.13</v>
      </c>
      <c r="BB33">
        <v>9</v>
      </c>
      <c r="BC33">
        <v>1</v>
      </c>
      <c r="BD33" t="s">
        <v>3</v>
      </c>
      <c r="BE33" t="s">
        <v>3</v>
      </c>
      <c r="BF33" t="s">
        <v>3</v>
      </c>
      <c r="BG33" t="s">
        <v>3</v>
      </c>
      <c r="BH33">
        <v>0</v>
      </c>
      <c r="BI33">
        <v>1</v>
      </c>
      <c r="BJ33" t="s">
        <v>32</v>
      </c>
      <c r="BM33">
        <v>658</v>
      </c>
      <c r="BN33">
        <v>0</v>
      </c>
      <c r="BO33" t="s">
        <v>29</v>
      </c>
      <c r="BP33">
        <v>1</v>
      </c>
      <c r="BQ33">
        <v>60</v>
      </c>
      <c r="BR33">
        <v>0</v>
      </c>
      <c r="BS33">
        <v>25.13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3</v>
      </c>
      <c r="BZ33">
        <v>73</v>
      </c>
      <c r="CA33">
        <v>41</v>
      </c>
      <c r="CE33">
        <v>30</v>
      </c>
      <c r="CF33">
        <v>0</v>
      </c>
      <c r="CG33">
        <v>0</v>
      </c>
      <c r="CM33">
        <v>0</v>
      </c>
      <c r="CN33" t="s">
        <v>3</v>
      </c>
      <c r="CO33">
        <v>0</v>
      </c>
      <c r="CP33">
        <f t="shared" si="41"/>
        <v>2181.69</v>
      </c>
      <c r="CQ33">
        <f t="shared" si="42"/>
        <v>0</v>
      </c>
      <c r="CR33">
        <f t="shared" si="43"/>
        <v>79.739999999999995</v>
      </c>
      <c r="CS33">
        <f t="shared" si="44"/>
        <v>37.19</v>
      </c>
      <c r="CT33">
        <f t="shared" si="45"/>
        <v>0</v>
      </c>
      <c r="CU33">
        <f t="shared" si="46"/>
        <v>0</v>
      </c>
      <c r="CV33">
        <f t="shared" si="47"/>
        <v>0</v>
      </c>
      <c r="CW33">
        <f t="shared" si="48"/>
        <v>0</v>
      </c>
      <c r="CX33">
        <f t="shared" si="49"/>
        <v>0</v>
      </c>
      <c r="CY33">
        <f>S33*(BZ33/100)</f>
        <v>0</v>
      </c>
      <c r="CZ33">
        <f>S33*(CA33/100)</f>
        <v>0</v>
      </c>
      <c r="DC33" t="s">
        <v>3</v>
      </c>
      <c r="DD33" t="s">
        <v>3</v>
      </c>
      <c r="DE33" t="s">
        <v>3</v>
      </c>
      <c r="DF33" t="s">
        <v>3</v>
      </c>
      <c r="DG33" t="s">
        <v>3</v>
      </c>
      <c r="DH33" t="s">
        <v>3</v>
      </c>
      <c r="DI33" t="s">
        <v>3</v>
      </c>
      <c r="DJ33" t="s">
        <v>3</v>
      </c>
      <c r="DK33" t="s">
        <v>3</v>
      </c>
      <c r="DL33" t="s">
        <v>3</v>
      </c>
      <c r="DM33" t="s">
        <v>3</v>
      </c>
      <c r="DN33">
        <v>91</v>
      </c>
      <c r="DO33">
        <v>70</v>
      </c>
      <c r="DP33">
        <v>1</v>
      </c>
      <c r="DQ33">
        <v>1</v>
      </c>
      <c r="DU33">
        <v>1013</v>
      </c>
      <c r="DV33" t="s">
        <v>31</v>
      </c>
      <c r="DW33" t="s">
        <v>31</v>
      </c>
      <c r="DX33">
        <v>1</v>
      </c>
      <c r="EE33">
        <v>45707118</v>
      </c>
      <c r="EF33">
        <v>60</v>
      </c>
      <c r="EG33" t="s">
        <v>25</v>
      </c>
      <c r="EH33">
        <v>0</v>
      </c>
      <c r="EI33" t="s">
        <v>3</v>
      </c>
      <c r="EJ33">
        <v>1</v>
      </c>
      <c r="EK33">
        <v>658</v>
      </c>
      <c r="EL33" t="s">
        <v>33</v>
      </c>
      <c r="EM33" t="s">
        <v>34</v>
      </c>
      <c r="EO33" t="s">
        <v>3</v>
      </c>
      <c r="EQ33">
        <v>0</v>
      </c>
      <c r="ER33">
        <v>8.86</v>
      </c>
      <c r="ES33">
        <v>0</v>
      </c>
      <c r="ET33">
        <v>8.86</v>
      </c>
      <c r="EU33">
        <v>1.48</v>
      </c>
      <c r="EV33">
        <v>0</v>
      </c>
      <c r="EW33">
        <v>0</v>
      </c>
      <c r="EX33">
        <v>0</v>
      </c>
      <c r="EY33">
        <v>0</v>
      </c>
      <c r="FQ33">
        <v>0</v>
      </c>
      <c r="FR33">
        <f t="shared" si="50"/>
        <v>0</v>
      </c>
      <c r="FS33">
        <v>0</v>
      </c>
      <c r="FX33">
        <v>91</v>
      </c>
      <c r="FY33">
        <v>70</v>
      </c>
      <c r="GA33" t="s">
        <v>3</v>
      </c>
      <c r="GD33">
        <v>0</v>
      </c>
      <c r="GF33">
        <v>-1983005167</v>
      </c>
      <c r="GG33">
        <v>2</v>
      </c>
      <c r="GH33">
        <v>1</v>
      </c>
      <c r="GI33">
        <v>2</v>
      </c>
      <c r="GJ33">
        <v>0</v>
      </c>
      <c r="GK33">
        <f>ROUND(R33*(S12)/100,2)</f>
        <v>1597.49</v>
      </c>
      <c r="GL33">
        <f t="shared" si="51"/>
        <v>0</v>
      </c>
      <c r="GM33">
        <f t="shared" si="55"/>
        <v>3779.18</v>
      </c>
      <c r="GN33">
        <f t="shared" si="56"/>
        <v>3779.18</v>
      </c>
      <c r="GO33">
        <f t="shared" si="57"/>
        <v>0</v>
      </c>
      <c r="GP33">
        <f t="shared" si="58"/>
        <v>0</v>
      </c>
      <c r="GR33">
        <v>0</v>
      </c>
      <c r="GS33">
        <v>3</v>
      </c>
      <c r="GT33">
        <v>0</v>
      </c>
      <c r="GU33" t="s">
        <v>3</v>
      </c>
      <c r="GV33">
        <f t="shared" si="52"/>
        <v>0</v>
      </c>
      <c r="GW33">
        <v>1</v>
      </c>
      <c r="GX33">
        <f t="shared" si="53"/>
        <v>0</v>
      </c>
      <c r="HA33">
        <v>0</v>
      </c>
      <c r="HB33">
        <v>0</v>
      </c>
      <c r="HC33">
        <f t="shared" si="54"/>
        <v>0</v>
      </c>
      <c r="HE33" t="s">
        <v>3</v>
      </c>
      <c r="HF33" t="s">
        <v>3</v>
      </c>
      <c r="IK33">
        <v>0</v>
      </c>
    </row>
    <row r="34" spans="1:255" x14ac:dyDescent="0.2">
      <c r="A34" s="2">
        <v>17</v>
      </c>
      <c r="B34" s="2">
        <v>1</v>
      </c>
      <c r="C34" s="2">
        <f>ROW(SmtRes!A13)</f>
        <v>13</v>
      </c>
      <c r="D34" s="2">
        <f>ROW(EtalonRes!A13)</f>
        <v>13</v>
      </c>
      <c r="E34" s="2" t="s">
        <v>35</v>
      </c>
      <c r="F34" s="2" t="s">
        <v>36</v>
      </c>
      <c r="G34" s="2" t="s">
        <v>37</v>
      </c>
      <c r="H34" s="2" t="s">
        <v>31</v>
      </c>
      <c r="I34" s="2">
        <f>ROUND(I32/0.95*0.05,9)</f>
        <v>1.44</v>
      </c>
      <c r="J34" s="2">
        <v>0</v>
      </c>
      <c r="K34" s="2"/>
      <c r="L34" s="2"/>
      <c r="M34" s="2"/>
      <c r="N34" s="2"/>
      <c r="O34" s="2">
        <f t="shared" si="21"/>
        <v>13.85</v>
      </c>
      <c r="P34" s="2">
        <f t="shared" si="22"/>
        <v>0</v>
      </c>
      <c r="Q34" s="2">
        <f t="shared" si="23"/>
        <v>0</v>
      </c>
      <c r="R34" s="2">
        <f t="shared" si="24"/>
        <v>0</v>
      </c>
      <c r="S34" s="2">
        <f t="shared" si="25"/>
        <v>13.85</v>
      </c>
      <c r="T34" s="2">
        <f t="shared" si="26"/>
        <v>0</v>
      </c>
      <c r="U34" s="2">
        <f t="shared" si="27"/>
        <v>1.4687999999999999</v>
      </c>
      <c r="V34" s="2">
        <f t="shared" si="28"/>
        <v>0</v>
      </c>
      <c r="W34" s="2">
        <f t="shared" si="29"/>
        <v>0</v>
      </c>
      <c r="X34" s="2">
        <f t="shared" si="30"/>
        <v>12.6</v>
      </c>
      <c r="Y34" s="2">
        <f t="shared" si="31"/>
        <v>9.6999999999999993</v>
      </c>
      <c r="Z34" s="2"/>
      <c r="AA34" s="2">
        <v>45748053</v>
      </c>
      <c r="AB34" s="2">
        <f t="shared" si="32"/>
        <v>9.6199999999999992</v>
      </c>
      <c r="AC34" s="2">
        <f t="shared" si="33"/>
        <v>0</v>
      </c>
      <c r="AD34" s="2">
        <f t="shared" si="34"/>
        <v>0</v>
      </c>
      <c r="AE34" s="2">
        <f t="shared" si="35"/>
        <v>0</v>
      </c>
      <c r="AF34" s="2">
        <f t="shared" si="36"/>
        <v>9.6199999999999992</v>
      </c>
      <c r="AG34" s="2">
        <f t="shared" si="37"/>
        <v>0</v>
      </c>
      <c r="AH34" s="2">
        <f t="shared" si="38"/>
        <v>1.02</v>
      </c>
      <c r="AI34" s="2">
        <f t="shared" si="39"/>
        <v>0</v>
      </c>
      <c r="AJ34" s="2">
        <f t="shared" si="40"/>
        <v>0</v>
      </c>
      <c r="AK34" s="2">
        <v>9.6199999999999992</v>
      </c>
      <c r="AL34" s="2">
        <v>0</v>
      </c>
      <c r="AM34" s="2">
        <v>0</v>
      </c>
      <c r="AN34" s="2">
        <v>0</v>
      </c>
      <c r="AO34" s="2">
        <v>9.6199999999999992</v>
      </c>
      <c r="AP34" s="2">
        <v>0</v>
      </c>
      <c r="AQ34" s="2">
        <v>1.02</v>
      </c>
      <c r="AR34" s="2">
        <v>0</v>
      </c>
      <c r="AS34" s="2">
        <v>0</v>
      </c>
      <c r="AT34" s="2">
        <v>91</v>
      </c>
      <c r="AU34" s="2">
        <v>70</v>
      </c>
      <c r="AV34" s="2">
        <v>1</v>
      </c>
      <c r="AW34" s="2">
        <v>1</v>
      </c>
      <c r="AX34" s="2"/>
      <c r="AY34" s="2"/>
      <c r="AZ34" s="2">
        <v>1</v>
      </c>
      <c r="BA34" s="2">
        <v>1</v>
      </c>
      <c r="BB34" s="2">
        <v>1</v>
      </c>
      <c r="BC34" s="2">
        <v>1</v>
      </c>
      <c r="BD34" s="2" t="s">
        <v>3</v>
      </c>
      <c r="BE34" s="2" t="s">
        <v>3</v>
      </c>
      <c r="BF34" s="2" t="s">
        <v>3</v>
      </c>
      <c r="BG34" s="2" t="s">
        <v>3</v>
      </c>
      <c r="BH34" s="2">
        <v>0</v>
      </c>
      <c r="BI34" s="2">
        <v>1</v>
      </c>
      <c r="BJ34" s="2" t="s">
        <v>38</v>
      </c>
      <c r="BK34" s="2"/>
      <c r="BL34" s="2"/>
      <c r="BM34" s="2">
        <v>682</v>
      </c>
      <c r="BN34" s="2">
        <v>0</v>
      </c>
      <c r="BO34" s="2" t="s">
        <v>3</v>
      </c>
      <c r="BP34" s="2">
        <v>0</v>
      </c>
      <c r="BQ34" s="2">
        <v>60</v>
      </c>
      <c r="BR34" s="2">
        <v>0</v>
      </c>
      <c r="BS34" s="2">
        <v>1</v>
      </c>
      <c r="BT34" s="2">
        <v>1</v>
      </c>
      <c r="BU34" s="2">
        <v>1</v>
      </c>
      <c r="BV34" s="2">
        <v>1</v>
      </c>
      <c r="BW34" s="2">
        <v>1</v>
      </c>
      <c r="BX34" s="2">
        <v>1</v>
      </c>
      <c r="BY34" s="2" t="s">
        <v>3</v>
      </c>
      <c r="BZ34" s="2">
        <v>91</v>
      </c>
      <c r="CA34" s="2">
        <v>70</v>
      </c>
      <c r="CB34" s="2"/>
      <c r="CC34" s="2"/>
      <c r="CD34" s="2"/>
      <c r="CE34" s="2">
        <v>30</v>
      </c>
      <c r="CF34" s="2">
        <v>0</v>
      </c>
      <c r="CG34" s="2">
        <v>0</v>
      </c>
      <c r="CH34" s="2"/>
      <c r="CI34" s="2"/>
      <c r="CJ34" s="2"/>
      <c r="CK34" s="2"/>
      <c r="CL34" s="2"/>
      <c r="CM34" s="2">
        <v>0</v>
      </c>
      <c r="CN34" s="2" t="s">
        <v>3</v>
      </c>
      <c r="CO34" s="2">
        <v>0</v>
      </c>
      <c r="CP34" s="2">
        <f t="shared" si="41"/>
        <v>13.85</v>
      </c>
      <c r="CQ34" s="2">
        <f t="shared" si="42"/>
        <v>0</v>
      </c>
      <c r="CR34" s="2">
        <f t="shared" si="43"/>
        <v>0</v>
      </c>
      <c r="CS34" s="2">
        <f t="shared" si="44"/>
        <v>0</v>
      </c>
      <c r="CT34" s="2">
        <f t="shared" si="45"/>
        <v>9.6199999999999992</v>
      </c>
      <c r="CU34" s="2">
        <f t="shared" si="46"/>
        <v>0</v>
      </c>
      <c r="CV34" s="2">
        <f t="shared" si="47"/>
        <v>1.02</v>
      </c>
      <c r="CW34" s="2">
        <f t="shared" si="48"/>
        <v>0</v>
      </c>
      <c r="CX34" s="2">
        <f t="shared" si="49"/>
        <v>0</v>
      </c>
      <c r="CY34" s="2">
        <f>((S34*BZ34)/100)</f>
        <v>12.603499999999999</v>
      </c>
      <c r="CZ34" s="2">
        <f>((S34*CA34)/100)</f>
        <v>9.6950000000000003</v>
      </c>
      <c r="DA34" s="2"/>
      <c r="DB34" s="2"/>
      <c r="DC34" s="2" t="s">
        <v>3</v>
      </c>
      <c r="DD34" s="2" t="s">
        <v>3</v>
      </c>
      <c r="DE34" s="2" t="s">
        <v>3</v>
      </c>
      <c r="DF34" s="2" t="s">
        <v>3</v>
      </c>
      <c r="DG34" s="2" t="s">
        <v>3</v>
      </c>
      <c r="DH34" s="2" t="s">
        <v>3</v>
      </c>
      <c r="DI34" s="2" t="s">
        <v>3</v>
      </c>
      <c r="DJ34" s="2" t="s">
        <v>3</v>
      </c>
      <c r="DK34" s="2" t="s">
        <v>3</v>
      </c>
      <c r="DL34" s="2" t="s">
        <v>3</v>
      </c>
      <c r="DM34" s="2" t="s">
        <v>3</v>
      </c>
      <c r="DN34" s="2">
        <v>0</v>
      </c>
      <c r="DO34" s="2">
        <v>0</v>
      </c>
      <c r="DP34" s="2">
        <v>1</v>
      </c>
      <c r="DQ34" s="2">
        <v>1</v>
      </c>
      <c r="DR34" s="2"/>
      <c r="DS34" s="2"/>
      <c r="DT34" s="2"/>
      <c r="DU34" s="2">
        <v>1013</v>
      </c>
      <c r="DV34" s="2" t="s">
        <v>31</v>
      </c>
      <c r="DW34" s="2" t="s">
        <v>31</v>
      </c>
      <c r="DX34" s="2">
        <v>1</v>
      </c>
      <c r="DY34" s="2"/>
      <c r="DZ34" s="2"/>
      <c r="EA34" s="2"/>
      <c r="EB34" s="2"/>
      <c r="EC34" s="2"/>
      <c r="ED34" s="2"/>
      <c r="EE34" s="2">
        <v>45707142</v>
      </c>
      <c r="EF34" s="2">
        <v>60</v>
      </c>
      <c r="EG34" s="2" t="s">
        <v>25</v>
      </c>
      <c r="EH34" s="2">
        <v>0</v>
      </c>
      <c r="EI34" s="2" t="s">
        <v>3</v>
      </c>
      <c r="EJ34" s="2">
        <v>1</v>
      </c>
      <c r="EK34" s="2">
        <v>682</v>
      </c>
      <c r="EL34" s="2" t="s">
        <v>39</v>
      </c>
      <c r="EM34" s="2" t="s">
        <v>40</v>
      </c>
      <c r="EN34" s="2"/>
      <c r="EO34" s="2" t="s">
        <v>3</v>
      </c>
      <c r="EP34" s="2"/>
      <c r="EQ34" s="2">
        <v>0</v>
      </c>
      <c r="ER34" s="2">
        <v>9.6199999999999992</v>
      </c>
      <c r="ES34" s="2">
        <v>0</v>
      </c>
      <c r="ET34" s="2">
        <v>0</v>
      </c>
      <c r="EU34" s="2">
        <v>0</v>
      </c>
      <c r="EV34" s="2">
        <v>9.6199999999999992</v>
      </c>
      <c r="EW34" s="2">
        <v>1.02</v>
      </c>
      <c r="EX34" s="2">
        <v>0</v>
      </c>
      <c r="EY34" s="2">
        <v>0</v>
      </c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>
        <v>0</v>
      </c>
      <c r="FR34" s="2">
        <f t="shared" si="50"/>
        <v>0</v>
      </c>
      <c r="FS34" s="2">
        <v>0</v>
      </c>
      <c r="FT34" s="2"/>
      <c r="FU34" s="2"/>
      <c r="FV34" s="2"/>
      <c r="FW34" s="2"/>
      <c r="FX34" s="2">
        <v>91</v>
      </c>
      <c r="FY34" s="2">
        <v>70</v>
      </c>
      <c r="FZ34" s="2"/>
      <c r="GA34" s="2" t="s">
        <v>3</v>
      </c>
      <c r="GB34" s="2"/>
      <c r="GC34" s="2"/>
      <c r="GD34" s="2">
        <v>0</v>
      </c>
      <c r="GE34" s="2"/>
      <c r="GF34" s="2">
        <v>903638064</v>
      </c>
      <c r="GG34" s="2">
        <v>2</v>
      </c>
      <c r="GH34" s="2">
        <v>1</v>
      </c>
      <c r="GI34" s="2">
        <v>-2</v>
      </c>
      <c r="GJ34" s="2">
        <v>0</v>
      </c>
      <c r="GK34" s="2">
        <f>ROUND(R34*(R12)/100,2)</f>
        <v>0</v>
      </c>
      <c r="GL34" s="2">
        <f t="shared" si="51"/>
        <v>0</v>
      </c>
      <c r="GM34" s="2">
        <f t="shared" si="55"/>
        <v>36.15</v>
      </c>
      <c r="GN34" s="2">
        <f t="shared" si="56"/>
        <v>36.15</v>
      </c>
      <c r="GO34" s="2">
        <f t="shared" si="57"/>
        <v>0</v>
      </c>
      <c r="GP34" s="2">
        <f t="shared" si="58"/>
        <v>0</v>
      </c>
      <c r="GQ34" s="2"/>
      <c r="GR34" s="2">
        <v>0</v>
      </c>
      <c r="GS34" s="2">
        <v>3</v>
      </c>
      <c r="GT34" s="2">
        <v>0</v>
      </c>
      <c r="GU34" s="2" t="s">
        <v>3</v>
      </c>
      <c r="GV34" s="2">
        <f t="shared" si="52"/>
        <v>0</v>
      </c>
      <c r="GW34" s="2">
        <v>1</v>
      </c>
      <c r="GX34" s="2">
        <f t="shared" si="53"/>
        <v>0</v>
      </c>
      <c r="GY34" s="2"/>
      <c r="GZ34" s="2"/>
      <c r="HA34" s="2">
        <v>0</v>
      </c>
      <c r="HB34" s="2">
        <v>0</v>
      </c>
      <c r="HC34" s="2">
        <f t="shared" si="54"/>
        <v>0</v>
      </c>
      <c r="HD34" s="2"/>
      <c r="HE34" s="2" t="s">
        <v>3</v>
      </c>
      <c r="HF34" s="2" t="s">
        <v>3</v>
      </c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>
        <v>0</v>
      </c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x14ac:dyDescent="0.2">
      <c r="A35">
        <v>17</v>
      </c>
      <c r="B35">
        <v>1</v>
      </c>
      <c r="C35">
        <f>ROW(SmtRes!A14)</f>
        <v>14</v>
      </c>
      <c r="D35">
        <f>ROW(EtalonRes!A14)</f>
        <v>14</v>
      </c>
      <c r="E35" t="s">
        <v>35</v>
      </c>
      <c r="F35" t="s">
        <v>36</v>
      </c>
      <c r="G35" t="s">
        <v>37</v>
      </c>
      <c r="H35" t="s">
        <v>31</v>
      </c>
      <c r="I35">
        <f>ROUND(I33/0.95*0.05,9)</f>
        <v>1.44</v>
      </c>
      <c r="J35">
        <v>0</v>
      </c>
      <c r="O35">
        <f t="shared" si="21"/>
        <v>348.05</v>
      </c>
      <c r="P35">
        <f t="shared" si="22"/>
        <v>0</v>
      </c>
      <c r="Q35">
        <f t="shared" si="23"/>
        <v>0</v>
      </c>
      <c r="R35">
        <f t="shared" si="24"/>
        <v>0</v>
      </c>
      <c r="S35">
        <f t="shared" si="25"/>
        <v>348.05</v>
      </c>
      <c r="T35">
        <f t="shared" si="26"/>
        <v>0</v>
      </c>
      <c r="U35">
        <f t="shared" si="27"/>
        <v>1.4687999999999999</v>
      </c>
      <c r="V35">
        <f t="shared" si="28"/>
        <v>0</v>
      </c>
      <c r="W35">
        <f t="shared" si="29"/>
        <v>0</v>
      </c>
      <c r="X35">
        <f t="shared" si="30"/>
        <v>254.08</v>
      </c>
      <c r="Y35">
        <f t="shared" si="31"/>
        <v>142.69999999999999</v>
      </c>
      <c r="AA35">
        <v>45747932</v>
      </c>
      <c r="AB35">
        <f t="shared" si="32"/>
        <v>9.6199999999999992</v>
      </c>
      <c r="AC35">
        <f t="shared" si="33"/>
        <v>0</v>
      </c>
      <c r="AD35">
        <f t="shared" si="34"/>
        <v>0</v>
      </c>
      <c r="AE35">
        <f t="shared" si="35"/>
        <v>0</v>
      </c>
      <c r="AF35">
        <f t="shared" si="36"/>
        <v>9.6199999999999992</v>
      </c>
      <c r="AG35">
        <f t="shared" si="37"/>
        <v>0</v>
      </c>
      <c r="AH35">
        <f t="shared" si="38"/>
        <v>1.02</v>
      </c>
      <c r="AI35">
        <f t="shared" si="39"/>
        <v>0</v>
      </c>
      <c r="AJ35">
        <f t="shared" si="40"/>
        <v>0</v>
      </c>
      <c r="AK35">
        <v>9.6199999999999992</v>
      </c>
      <c r="AL35">
        <v>0</v>
      </c>
      <c r="AM35">
        <v>0</v>
      </c>
      <c r="AN35">
        <v>0</v>
      </c>
      <c r="AO35">
        <v>9.6199999999999992</v>
      </c>
      <c r="AP35">
        <v>0</v>
      </c>
      <c r="AQ35">
        <v>1.02</v>
      </c>
      <c r="AR35">
        <v>0</v>
      </c>
      <c r="AS35">
        <v>0</v>
      </c>
      <c r="AT35">
        <v>73</v>
      </c>
      <c r="AU35">
        <v>41</v>
      </c>
      <c r="AV35">
        <v>1</v>
      </c>
      <c r="AW35">
        <v>1</v>
      </c>
      <c r="AZ35">
        <v>1</v>
      </c>
      <c r="BA35">
        <v>25.13</v>
      </c>
      <c r="BB35">
        <v>1</v>
      </c>
      <c r="BC35">
        <v>1</v>
      </c>
      <c r="BD35" t="s">
        <v>3</v>
      </c>
      <c r="BE35" t="s">
        <v>3</v>
      </c>
      <c r="BF35" t="s">
        <v>3</v>
      </c>
      <c r="BG35" t="s">
        <v>3</v>
      </c>
      <c r="BH35">
        <v>0</v>
      </c>
      <c r="BI35">
        <v>1</v>
      </c>
      <c r="BJ35" t="s">
        <v>38</v>
      </c>
      <c r="BM35">
        <v>682</v>
      </c>
      <c r="BN35">
        <v>0</v>
      </c>
      <c r="BO35" t="s">
        <v>36</v>
      </c>
      <c r="BP35">
        <v>1</v>
      </c>
      <c r="BQ35">
        <v>60</v>
      </c>
      <c r="BR35">
        <v>0</v>
      </c>
      <c r="BS35">
        <v>25.13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3</v>
      </c>
      <c r="BZ35">
        <v>73</v>
      </c>
      <c r="CA35">
        <v>41</v>
      </c>
      <c r="CE35">
        <v>30</v>
      </c>
      <c r="CF35">
        <v>0</v>
      </c>
      <c r="CG35">
        <v>0</v>
      </c>
      <c r="CM35">
        <v>0</v>
      </c>
      <c r="CN35" t="s">
        <v>3</v>
      </c>
      <c r="CO35">
        <v>0</v>
      </c>
      <c r="CP35">
        <f t="shared" si="41"/>
        <v>348.05</v>
      </c>
      <c r="CQ35">
        <f t="shared" si="42"/>
        <v>0</v>
      </c>
      <c r="CR35">
        <f t="shared" si="43"/>
        <v>0</v>
      </c>
      <c r="CS35">
        <f t="shared" si="44"/>
        <v>0</v>
      </c>
      <c r="CT35">
        <f t="shared" si="45"/>
        <v>241.75</v>
      </c>
      <c r="CU35">
        <f t="shared" si="46"/>
        <v>0</v>
      </c>
      <c r="CV35">
        <f t="shared" si="47"/>
        <v>1.02</v>
      </c>
      <c r="CW35">
        <f t="shared" si="48"/>
        <v>0</v>
      </c>
      <c r="CX35">
        <f t="shared" si="49"/>
        <v>0</v>
      </c>
      <c r="CY35">
        <f>S35*(BZ35/100)</f>
        <v>254.07650000000001</v>
      </c>
      <c r="CZ35">
        <f>S35*(CA35/100)</f>
        <v>142.70050000000001</v>
      </c>
      <c r="DC35" t="s">
        <v>3</v>
      </c>
      <c r="DD35" t="s">
        <v>3</v>
      </c>
      <c r="DE35" t="s">
        <v>3</v>
      </c>
      <c r="DF35" t="s">
        <v>3</v>
      </c>
      <c r="DG35" t="s">
        <v>3</v>
      </c>
      <c r="DH35" t="s">
        <v>3</v>
      </c>
      <c r="DI35" t="s">
        <v>3</v>
      </c>
      <c r="DJ35" t="s">
        <v>3</v>
      </c>
      <c r="DK35" t="s">
        <v>3</v>
      </c>
      <c r="DL35" t="s">
        <v>3</v>
      </c>
      <c r="DM35" t="s">
        <v>3</v>
      </c>
      <c r="DN35">
        <v>91</v>
      </c>
      <c r="DO35">
        <v>70</v>
      </c>
      <c r="DP35">
        <v>1</v>
      </c>
      <c r="DQ35">
        <v>1</v>
      </c>
      <c r="DU35">
        <v>1013</v>
      </c>
      <c r="DV35" t="s">
        <v>31</v>
      </c>
      <c r="DW35" t="s">
        <v>31</v>
      </c>
      <c r="DX35">
        <v>1</v>
      </c>
      <c r="EE35">
        <v>45707142</v>
      </c>
      <c r="EF35">
        <v>60</v>
      </c>
      <c r="EG35" t="s">
        <v>25</v>
      </c>
      <c r="EH35">
        <v>0</v>
      </c>
      <c r="EI35" t="s">
        <v>3</v>
      </c>
      <c r="EJ35">
        <v>1</v>
      </c>
      <c r="EK35">
        <v>682</v>
      </c>
      <c r="EL35" t="s">
        <v>39</v>
      </c>
      <c r="EM35" t="s">
        <v>40</v>
      </c>
      <c r="EO35" t="s">
        <v>3</v>
      </c>
      <c r="EQ35">
        <v>0</v>
      </c>
      <c r="ER35">
        <v>9.6199999999999992</v>
      </c>
      <c r="ES35">
        <v>0</v>
      </c>
      <c r="ET35">
        <v>0</v>
      </c>
      <c r="EU35">
        <v>0</v>
      </c>
      <c r="EV35">
        <v>9.6199999999999992</v>
      </c>
      <c r="EW35">
        <v>1.02</v>
      </c>
      <c r="EX35">
        <v>0</v>
      </c>
      <c r="EY35">
        <v>0</v>
      </c>
      <c r="FQ35">
        <v>0</v>
      </c>
      <c r="FR35">
        <f t="shared" si="50"/>
        <v>0</v>
      </c>
      <c r="FS35">
        <v>0</v>
      </c>
      <c r="FX35">
        <v>91</v>
      </c>
      <c r="FY35">
        <v>70</v>
      </c>
      <c r="GA35" t="s">
        <v>3</v>
      </c>
      <c r="GD35">
        <v>0</v>
      </c>
      <c r="GF35">
        <v>903638064</v>
      </c>
      <c r="GG35">
        <v>2</v>
      </c>
      <c r="GH35">
        <v>1</v>
      </c>
      <c r="GI35">
        <v>2</v>
      </c>
      <c r="GJ35">
        <v>0</v>
      </c>
      <c r="GK35">
        <f>ROUND(R35*(S12)/100,2)</f>
        <v>0</v>
      </c>
      <c r="GL35">
        <f t="shared" si="51"/>
        <v>0</v>
      </c>
      <c r="GM35">
        <f t="shared" si="55"/>
        <v>744.83</v>
      </c>
      <c r="GN35">
        <f t="shared" si="56"/>
        <v>744.83</v>
      </c>
      <c r="GO35">
        <f t="shared" si="57"/>
        <v>0</v>
      </c>
      <c r="GP35">
        <f t="shared" si="58"/>
        <v>0</v>
      </c>
      <c r="GR35">
        <v>0</v>
      </c>
      <c r="GS35">
        <v>3</v>
      </c>
      <c r="GT35">
        <v>0</v>
      </c>
      <c r="GU35" t="s">
        <v>3</v>
      </c>
      <c r="GV35">
        <f t="shared" si="52"/>
        <v>0</v>
      </c>
      <c r="GW35">
        <v>1</v>
      </c>
      <c r="GX35">
        <f t="shared" si="53"/>
        <v>0</v>
      </c>
      <c r="HA35">
        <v>0</v>
      </c>
      <c r="HB35">
        <v>0</v>
      </c>
      <c r="HC35">
        <f t="shared" si="54"/>
        <v>0</v>
      </c>
      <c r="HE35" t="s">
        <v>3</v>
      </c>
      <c r="HF35" t="s">
        <v>3</v>
      </c>
      <c r="IK35">
        <v>0</v>
      </c>
    </row>
    <row r="36" spans="1:255" x14ac:dyDescent="0.2">
      <c r="A36" s="2">
        <v>17</v>
      </c>
      <c r="B36" s="2">
        <v>1</v>
      </c>
      <c r="C36" s="2">
        <f>ROW(SmtRes!A15)</f>
        <v>15</v>
      </c>
      <c r="D36" s="2">
        <f>ROW(EtalonRes!A15)</f>
        <v>15</v>
      </c>
      <c r="E36" s="2" t="s">
        <v>41</v>
      </c>
      <c r="F36" s="2" t="s">
        <v>42</v>
      </c>
      <c r="G36" s="2" t="s">
        <v>43</v>
      </c>
      <c r="H36" s="2" t="s">
        <v>44</v>
      </c>
      <c r="I36" s="2">
        <f>ROUND(I32+I34,9)</f>
        <v>28.8</v>
      </c>
      <c r="J36" s="2">
        <v>0</v>
      </c>
      <c r="K36" s="2"/>
      <c r="L36" s="2"/>
      <c r="M36" s="2"/>
      <c r="N36" s="2"/>
      <c r="O36" s="2">
        <f t="shared" si="21"/>
        <v>1635.84</v>
      </c>
      <c r="P36" s="2">
        <f t="shared" si="22"/>
        <v>0</v>
      </c>
      <c r="Q36" s="2">
        <f t="shared" si="23"/>
        <v>1635.84</v>
      </c>
      <c r="R36" s="2">
        <f t="shared" si="24"/>
        <v>0</v>
      </c>
      <c r="S36" s="2">
        <f t="shared" si="25"/>
        <v>0</v>
      </c>
      <c r="T36" s="2">
        <f t="shared" si="26"/>
        <v>0</v>
      </c>
      <c r="U36" s="2">
        <f t="shared" si="27"/>
        <v>0</v>
      </c>
      <c r="V36" s="2">
        <f t="shared" si="28"/>
        <v>0</v>
      </c>
      <c r="W36" s="2">
        <f t="shared" si="29"/>
        <v>0</v>
      </c>
      <c r="X36" s="2">
        <f t="shared" si="30"/>
        <v>0</v>
      </c>
      <c r="Y36" s="2">
        <f t="shared" si="31"/>
        <v>0</v>
      </c>
      <c r="Z36" s="2"/>
      <c r="AA36" s="2">
        <v>45748053</v>
      </c>
      <c r="AB36" s="2">
        <f t="shared" si="32"/>
        <v>56.8</v>
      </c>
      <c r="AC36" s="2">
        <f t="shared" si="33"/>
        <v>0</v>
      </c>
      <c r="AD36" s="2">
        <f t="shared" si="34"/>
        <v>56.8</v>
      </c>
      <c r="AE36" s="2">
        <f t="shared" si="35"/>
        <v>0</v>
      </c>
      <c r="AF36" s="2">
        <f t="shared" si="36"/>
        <v>0</v>
      </c>
      <c r="AG36" s="2">
        <f t="shared" si="37"/>
        <v>0</v>
      </c>
      <c r="AH36" s="2">
        <f t="shared" si="38"/>
        <v>0</v>
      </c>
      <c r="AI36" s="2">
        <f t="shared" si="39"/>
        <v>0</v>
      </c>
      <c r="AJ36" s="2">
        <f t="shared" si="40"/>
        <v>0</v>
      </c>
      <c r="AK36" s="2">
        <v>56.8</v>
      </c>
      <c r="AL36" s="2">
        <v>0</v>
      </c>
      <c r="AM36" s="2">
        <v>56.8</v>
      </c>
      <c r="AN36" s="2">
        <v>0</v>
      </c>
      <c r="AO36" s="2">
        <v>0</v>
      </c>
      <c r="AP36" s="2">
        <v>0</v>
      </c>
      <c r="AQ36" s="2">
        <v>0</v>
      </c>
      <c r="AR36" s="2">
        <v>0</v>
      </c>
      <c r="AS36" s="2">
        <v>0</v>
      </c>
      <c r="AT36" s="2">
        <v>0</v>
      </c>
      <c r="AU36" s="2">
        <v>0</v>
      </c>
      <c r="AV36" s="2">
        <v>1</v>
      </c>
      <c r="AW36" s="2">
        <v>1</v>
      </c>
      <c r="AX36" s="2"/>
      <c r="AY36" s="2"/>
      <c r="AZ36" s="2">
        <v>1</v>
      </c>
      <c r="BA36" s="2">
        <v>1</v>
      </c>
      <c r="BB36" s="2">
        <v>1</v>
      </c>
      <c r="BC36" s="2">
        <v>1</v>
      </c>
      <c r="BD36" s="2" t="s">
        <v>3</v>
      </c>
      <c r="BE36" s="2" t="s">
        <v>3</v>
      </c>
      <c r="BF36" s="2" t="s">
        <v>3</v>
      </c>
      <c r="BG36" s="2" t="s">
        <v>3</v>
      </c>
      <c r="BH36" s="2">
        <v>0</v>
      </c>
      <c r="BI36" s="2">
        <v>4</v>
      </c>
      <c r="BJ36" s="2" t="s">
        <v>45</v>
      </c>
      <c r="BK36" s="2"/>
      <c r="BL36" s="2"/>
      <c r="BM36" s="2">
        <v>1113</v>
      </c>
      <c r="BN36" s="2">
        <v>0</v>
      </c>
      <c r="BO36" s="2" t="s">
        <v>3</v>
      </c>
      <c r="BP36" s="2">
        <v>0</v>
      </c>
      <c r="BQ36" s="2">
        <v>150</v>
      </c>
      <c r="BR36" s="2">
        <v>0</v>
      </c>
      <c r="BS36" s="2">
        <v>1</v>
      </c>
      <c r="BT36" s="2">
        <v>1</v>
      </c>
      <c r="BU36" s="2">
        <v>1</v>
      </c>
      <c r="BV36" s="2">
        <v>1</v>
      </c>
      <c r="BW36" s="2">
        <v>1</v>
      </c>
      <c r="BX36" s="2">
        <v>1</v>
      </c>
      <c r="BY36" s="2" t="s">
        <v>3</v>
      </c>
      <c r="BZ36" s="2">
        <v>0</v>
      </c>
      <c r="CA36" s="2">
        <v>0</v>
      </c>
      <c r="CB36" s="2"/>
      <c r="CC36" s="2"/>
      <c r="CD36" s="2"/>
      <c r="CE36" s="2">
        <v>30</v>
      </c>
      <c r="CF36" s="2">
        <v>0</v>
      </c>
      <c r="CG36" s="2">
        <v>0</v>
      </c>
      <c r="CH36" s="2"/>
      <c r="CI36" s="2"/>
      <c r="CJ36" s="2"/>
      <c r="CK36" s="2"/>
      <c r="CL36" s="2"/>
      <c r="CM36" s="2">
        <v>0</v>
      </c>
      <c r="CN36" s="2" t="s">
        <v>3</v>
      </c>
      <c r="CO36" s="2">
        <v>0</v>
      </c>
      <c r="CP36" s="2">
        <f t="shared" si="41"/>
        <v>1635.84</v>
      </c>
      <c r="CQ36" s="2">
        <f t="shared" si="42"/>
        <v>0</v>
      </c>
      <c r="CR36" s="2">
        <f t="shared" si="43"/>
        <v>56.8</v>
      </c>
      <c r="CS36" s="2">
        <f t="shared" si="44"/>
        <v>0</v>
      </c>
      <c r="CT36" s="2">
        <f t="shared" si="45"/>
        <v>0</v>
      </c>
      <c r="CU36" s="2">
        <f t="shared" si="46"/>
        <v>0</v>
      </c>
      <c r="CV36" s="2">
        <f t="shared" si="47"/>
        <v>0</v>
      </c>
      <c r="CW36" s="2">
        <f t="shared" si="48"/>
        <v>0</v>
      </c>
      <c r="CX36" s="2">
        <f t="shared" si="49"/>
        <v>0</v>
      </c>
      <c r="CY36" s="2">
        <f>((S36*BZ36)/100)</f>
        <v>0</v>
      </c>
      <c r="CZ36" s="2">
        <f>((S36*CA36)/100)</f>
        <v>0</v>
      </c>
      <c r="DA36" s="2"/>
      <c r="DB36" s="2"/>
      <c r="DC36" s="2" t="s">
        <v>3</v>
      </c>
      <c r="DD36" s="2" t="s">
        <v>3</v>
      </c>
      <c r="DE36" s="2" t="s">
        <v>3</v>
      </c>
      <c r="DF36" s="2" t="s">
        <v>3</v>
      </c>
      <c r="DG36" s="2" t="s">
        <v>3</v>
      </c>
      <c r="DH36" s="2" t="s">
        <v>3</v>
      </c>
      <c r="DI36" s="2" t="s">
        <v>3</v>
      </c>
      <c r="DJ36" s="2" t="s">
        <v>3</v>
      </c>
      <c r="DK36" s="2" t="s">
        <v>3</v>
      </c>
      <c r="DL36" s="2" t="s">
        <v>3</v>
      </c>
      <c r="DM36" s="2" t="s">
        <v>3</v>
      </c>
      <c r="DN36" s="2">
        <v>0</v>
      </c>
      <c r="DO36" s="2">
        <v>0</v>
      </c>
      <c r="DP36" s="2">
        <v>1</v>
      </c>
      <c r="DQ36" s="2">
        <v>1</v>
      </c>
      <c r="DR36" s="2"/>
      <c r="DS36" s="2"/>
      <c r="DT36" s="2"/>
      <c r="DU36" s="2">
        <v>1009</v>
      </c>
      <c r="DV36" s="2" t="s">
        <v>44</v>
      </c>
      <c r="DW36" s="2" t="s">
        <v>44</v>
      </c>
      <c r="DX36" s="2">
        <v>1000</v>
      </c>
      <c r="DY36" s="2"/>
      <c r="DZ36" s="2"/>
      <c r="EA36" s="2"/>
      <c r="EB36" s="2"/>
      <c r="EC36" s="2"/>
      <c r="ED36" s="2"/>
      <c r="EE36" s="2">
        <v>45707573</v>
      </c>
      <c r="EF36" s="2">
        <v>150</v>
      </c>
      <c r="EG36" s="2" t="s">
        <v>46</v>
      </c>
      <c r="EH36" s="2">
        <v>0</v>
      </c>
      <c r="EI36" s="2" t="s">
        <v>3</v>
      </c>
      <c r="EJ36" s="2">
        <v>4</v>
      </c>
      <c r="EK36" s="2">
        <v>1113</v>
      </c>
      <c r="EL36" s="2" t="s">
        <v>47</v>
      </c>
      <c r="EM36" s="2" t="s">
        <v>48</v>
      </c>
      <c r="EN36" s="2"/>
      <c r="EO36" s="2" t="s">
        <v>3</v>
      </c>
      <c r="EP36" s="2"/>
      <c r="EQ36" s="2">
        <v>0</v>
      </c>
      <c r="ER36" s="2">
        <v>56.8</v>
      </c>
      <c r="ES36" s="2">
        <v>0</v>
      </c>
      <c r="ET36" s="2">
        <v>56.8</v>
      </c>
      <c r="EU36" s="2">
        <v>0</v>
      </c>
      <c r="EV36" s="2">
        <v>0</v>
      </c>
      <c r="EW36" s="2">
        <v>0</v>
      </c>
      <c r="EX36" s="2">
        <v>0</v>
      </c>
      <c r="EY36" s="2">
        <v>0</v>
      </c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>
        <v>0</v>
      </c>
      <c r="FR36" s="2">
        <f t="shared" si="50"/>
        <v>0</v>
      </c>
      <c r="FS36" s="2">
        <v>0</v>
      </c>
      <c r="FT36" s="2"/>
      <c r="FU36" s="2"/>
      <c r="FV36" s="2"/>
      <c r="FW36" s="2"/>
      <c r="FX36" s="2">
        <v>0</v>
      </c>
      <c r="FY36" s="2">
        <v>0</v>
      </c>
      <c r="FZ36" s="2"/>
      <c r="GA36" s="2" t="s">
        <v>3</v>
      </c>
      <c r="GB36" s="2"/>
      <c r="GC36" s="2"/>
      <c r="GD36" s="2">
        <v>1</v>
      </c>
      <c r="GE36" s="2"/>
      <c r="GF36" s="2">
        <v>-915290513</v>
      </c>
      <c r="GG36" s="2">
        <v>2</v>
      </c>
      <c r="GH36" s="2">
        <v>1</v>
      </c>
      <c r="GI36" s="2">
        <v>-2</v>
      </c>
      <c r="GJ36" s="2">
        <v>0</v>
      </c>
      <c r="GK36" s="2">
        <v>0</v>
      </c>
      <c r="GL36" s="2">
        <f t="shared" si="51"/>
        <v>0</v>
      </c>
      <c r="GM36" s="2">
        <f>ROUND(O36+X36+Y36,2)+GX36</f>
        <v>1635.84</v>
      </c>
      <c r="GN36" s="2">
        <f>IF(OR(BI36=0,BI36=1),ROUND(O36+X36+Y36,2),0)</f>
        <v>0</v>
      </c>
      <c r="GO36" s="2">
        <f>IF(BI36=2,ROUND(O36+X36+Y36,2),0)</f>
        <v>0</v>
      </c>
      <c r="GP36" s="2">
        <f>IF(BI36=4,ROUND(O36+X36+Y36,2)+GX36,0)</f>
        <v>1635.84</v>
      </c>
      <c r="GQ36" s="2"/>
      <c r="GR36" s="2">
        <v>0</v>
      </c>
      <c r="GS36" s="2">
        <v>3</v>
      </c>
      <c r="GT36" s="2">
        <v>0</v>
      </c>
      <c r="GU36" s="2" t="s">
        <v>3</v>
      </c>
      <c r="GV36" s="2">
        <f t="shared" si="52"/>
        <v>0</v>
      </c>
      <c r="GW36" s="2">
        <v>1</v>
      </c>
      <c r="GX36" s="2">
        <f t="shared" si="53"/>
        <v>0</v>
      </c>
      <c r="GY36" s="2"/>
      <c r="GZ36" s="2"/>
      <c r="HA36" s="2">
        <v>0</v>
      </c>
      <c r="HB36" s="2">
        <v>0</v>
      </c>
      <c r="HC36" s="2">
        <f t="shared" si="54"/>
        <v>0</v>
      </c>
      <c r="HD36" s="2"/>
      <c r="HE36" s="2" t="s">
        <v>3</v>
      </c>
      <c r="HF36" s="2" t="s">
        <v>3</v>
      </c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>
        <v>0</v>
      </c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x14ac:dyDescent="0.2">
      <c r="A37">
        <v>17</v>
      </c>
      <c r="B37">
        <v>1</v>
      </c>
      <c r="C37">
        <f>ROW(SmtRes!A16)</f>
        <v>16</v>
      </c>
      <c r="D37">
        <f>ROW(EtalonRes!A16)</f>
        <v>16</v>
      </c>
      <c r="E37" t="s">
        <v>41</v>
      </c>
      <c r="F37" t="s">
        <v>42</v>
      </c>
      <c r="G37" t="s">
        <v>43</v>
      </c>
      <c r="H37" t="s">
        <v>44</v>
      </c>
      <c r="I37">
        <f>ROUND(I33+I35,9)</f>
        <v>28.8</v>
      </c>
      <c r="J37">
        <v>0</v>
      </c>
      <c r="O37">
        <f t="shared" si="21"/>
        <v>16881.87</v>
      </c>
      <c r="P37">
        <f t="shared" si="22"/>
        <v>0</v>
      </c>
      <c r="Q37">
        <f t="shared" si="23"/>
        <v>16881.87</v>
      </c>
      <c r="R37">
        <f t="shared" si="24"/>
        <v>0</v>
      </c>
      <c r="S37">
        <f t="shared" si="25"/>
        <v>0</v>
      </c>
      <c r="T37">
        <f t="shared" si="26"/>
        <v>0</v>
      </c>
      <c r="U37">
        <f t="shared" si="27"/>
        <v>0</v>
      </c>
      <c r="V37">
        <f t="shared" si="28"/>
        <v>0</v>
      </c>
      <c r="W37">
        <f t="shared" si="29"/>
        <v>0</v>
      </c>
      <c r="X37">
        <f t="shared" si="30"/>
        <v>0</v>
      </c>
      <c r="Y37">
        <f t="shared" si="31"/>
        <v>0</v>
      </c>
      <c r="AA37">
        <v>45747932</v>
      </c>
      <c r="AB37">
        <f t="shared" si="32"/>
        <v>56.8</v>
      </c>
      <c r="AC37">
        <f t="shared" si="33"/>
        <v>0</v>
      </c>
      <c r="AD37">
        <f t="shared" si="34"/>
        <v>56.8</v>
      </c>
      <c r="AE37">
        <f t="shared" si="35"/>
        <v>0</v>
      </c>
      <c r="AF37">
        <f t="shared" si="36"/>
        <v>0</v>
      </c>
      <c r="AG37">
        <f t="shared" si="37"/>
        <v>0</v>
      </c>
      <c r="AH37">
        <f t="shared" si="38"/>
        <v>0</v>
      </c>
      <c r="AI37">
        <f t="shared" si="39"/>
        <v>0</v>
      </c>
      <c r="AJ37">
        <f t="shared" si="40"/>
        <v>0</v>
      </c>
      <c r="AK37">
        <v>56.8</v>
      </c>
      <c r="AL37">
        <v>0</v>
      </c>
      <c r="AM37">
        <v>56.8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93</v>
      </c>
      <c r="AU37">
        <v>64</v>
      </c>
      <c r="AV37">
        <v>1</v>
      </c>
      <c r="AW37">
        <v>1</v>
      </c>
      <c r="AZ37">
        <v>1</v>
      </c>
      <c r="BA37">
        <v>1</v>
      </c>
      <c r="BB37">
        <v>10.32</v>
      </c>
      <c r="BC37">
        <v>1</v>
      </c>
      <c r="BD37" t="s">
        <v>3</v>
      </c>
      <c r="BE37" t="s">
        <v>3</v>
      </c>
      <c r="BF37" t="s">
        <v>3</v>
      </c>
      <c r="BG37" t="s">
        <v>3</v>
      </c>
      <c r="BH37">
        <v>0</v>
      </c>
      <c r="BI37">
        <v>4</v>
      </c>
      <c r="BJ37" t="s">
        <v>45</v>
      </c>
      <c r="BM37">
        <v>1113</v>
      </c>
      <c r="BN37">
        <v>0</v>
      </c>
      <c r="BO37" t="s">
        <v>42</v>
      </c>
      <c r="BP37">
        <v>1</v>
      </c>
      <c r="BQ37">
        <v>150</v>
      </c>
      <c r="BR37">
        <v>0</v>
      </c>
      <c r="BS37">
        <v>1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3</v>
      </c>
      <c r="BZ37">
        <v>93</v>
      </c>
      <c r="CA37">
        <v>64</v>
      </c>
      <c r="CE37">
        <v>30</v>
      </c>
      <c r="CF37">
        <v>0</v>
      </c>
      <c r="CG37">
        <v>0</v>
      </c>
      <c r="CM37">
        <v>0</v>
      </c>
      <c r="CN37" t="s">
        <v>3</v>
      </c>
      <c r="CO37">
        <v>0</v>
      </c>
      <c r="CP37">
        <f t="shared" si="41"/>
        <v>16881.87</v>
      </c>
      <c r="CQ37">
        <f t="shared" si="42"/>
        <v>0</v>
      </c>
      <c r="CR37">
        <f t="shared" si="43"/>
        <v>586.17999999999995</v>
      </c>
      <c r="CS37">
        <f t="shared" si="44"/>
        <v>0</v>
      </c>
      <c r="CT37">
        <f t="shared" si="45"/>
        <v>0</v>
      </c>
      <c r="CU37">
        <f t="shared" si="46"/>
        <v>0</v>
      </c>
      <c r="CV37">
        <f t="shared" si="47"/>
        <v>0</v>
      </c>
      <c r="CW37">
        <f t="shared" si="48"/>
        <v>0</v>
      </c>
      <c r="CX37">
        <f t="shared" si="49"/>
        <v>0</v>
      </c>
      <c r="CY37">
        <f>S37*(BZ37/100)</f>
        <v>0</v>
      </c>
      <c r="CZ37">
        <f>S37*(CA37/100)</f>
        <v>0</v>
      </c>
      <c r="DC37" t="s">
        <v>3</v>
      </c>
      <c r="DD37" t="s">
        <v>3</v>
      </c>
      <c r="DE37" t="s">
        <v>3</v>
      </c>
      <c r="DF37" t="s">
        <v>3</v>
      </c>
      <c r="DG37" t="s">
        <v>3</v>
      </c>
      <c r="DH37" t="s">
        <v>3</v>
      </c>
      <c r="DI37" t="s">
        <v>3</v>
      </c>
      <c r="DJ37" t="s">
        <v>3</v>
      </c>
      <c r="DK37" t="s">
        <v>3</v>
      </c>
      <c r="DL37" t="s">
        <v>3</v>
      </c>
      <c r="DM37" t="s">
        <v>3</v>
      </c>
      <c r="DN37">
        <v>0</v>
      </c>
      <c r="DO37">
        <v>0</v>
      </c>
      <c r="DP37">
        <v>1</v>
      </c>
      <c r="DQ37">
        <v>1</v>
      </c>
      <c r="DU37">
        <v>1009</v>
      </c>
      <c r="DV37" t="s">
        <v>44</v>
      </c>
      <c r="DW37" t="s">
        <v>44</v>
      </c>
      <c r="DX37">
        <v>1000</v>
      </c>
      <c r="EE37">
        <v>45707573</v>
      </c>
      <c r="EF37">
        <v>150</v>
      </c>
      <c r="EG37" t="s">
        <v>46</v>
      </c>
      <c r="EH37">
        <v>0</v>
      </c>
      <c r="EI37" t="s">
        <v>3</v>
      </c>
      <c r="EJ37">
        <v>4</v>
      </c>
      <c r="EK37">
        <v>1113</v>
      </c>
      <c r="EL37" t="s">
        <v>47</v>
      </c>
      <c r="EM37" t="s">
        <v>48</v>
      </c>
      <c r="EO37" t="s">
        <v>3</v>
      </c>
      <c r="EQ37">
        <v>0</v>
      </c>
      <c r="ER37">
        <v>56.8</v>
      </c>
      <c r="ES37">
        <v>0</v>
      </c>
      <c r="ET37">
        <v>56.8</v>
      </c>
      <c r="EU37">
        <v>0</v>
      </c>
      <c r="EV37">
        <v>0</v>
      </c>
      <c r="EW37">
        <v>0</v>
      </c>
      <c r="EX37">
        <v>0</v>
      </c>
      <c r="EY37">
        <v>0</v>
      </c>
      <c r="FQ37">
        <v>0</v>
      </c>
      <c r="FR37">
        <f t="shared" si="50"/>
        <v>0</v>
      </c>
      <c r="FS37">
        <v>0</v>
      </c>
      <c r="FX37">
        <v>0</v>
      </c>
      <c r="FY37">
        <v>0</v>
      </c>
      <c r="GA37" t="s">
        <v>3</v>
      </c>
      <c r="GD37">
        <v>0</v>
      </c>
      <c r="GF37">
        <v>-915290513</v>
      </c>
      <c r="GG37">
        <v>2</v>
      </c>
      <c r="GH37">
        <v>1</v>
      </c>
      <c r="GI37">
        <v>2</v>
      </c>
      <c r="GJ37">
        <v>0</v>
      </c>
      <c r="GK37">
        <f>ROUND(R37*(S12)/100,2)</f>
        <v>0</v>
      </c>
      <c r="GL37">
        <f t="shared" si="51"/>
        <v>0</v>
      </c>
      <c r="GM37">
        <f>ROUND(O37+X37+Y37+GK37,2)+GX37</f>
        <v>16881.87</v>
      </c>
      <c r="GN37">
        <f>IF(OR(BI37=0,BI37=1),ROUND(O37+X37+Y37+GK37,2),0)</f>
        <v>0</v>
      </c>
      <c r="GO37">
        <f>IF(BI37=2,ROUND(O37+X37+Y37+GK37,2),0)</f>
        <v>0</v>
      </c>
      <c r="GP37">
        <f>IF(BI37=4,ROUND(O37+X37+Y37+GK37,2)+GX37,0)</f>
        <v>16881.87</v>
      </c>
      <c r="GR37">
        <v>0</v>
      </c>
      <c r="GS37">
        <v>3</v>
      </c>
      <c r="GT37">
        <v>0</v>
      </c>
      <c r="GU37" t="s">
        <v>3</v>
      </c>
      <c r="GV37">
        <f t="shared" si="52"/>
        <v>0</v>
      </c>
      <c r="GW37">
        <v>1</v>
      </c>
      <c r="GX37">
        <f t="shared" si="53"/>
        <v>0</v>
      </c>
      <c r="HA37">
        <v>0</v>
      </c>
      <c r="HB37">
        <v>0</v>
      </c>
      <c r="HC37">
        <f t="shared" si="54"/>
        <v>0</v>
      </c>
      <c r="HE37" t="s">
        <v>3</v>
      </c>
      <c r="HF37" t="s">
        <v>3</v>
      </c>
      <c r="IK37">
        <v>0</v>
      </c>
    </row>
    <row r="38" spans="1:255" x14ac:dyDescent="0.2">
      <c r="A38" s="2">
        <v>17</v>
      </c>
      <c r="B38" s="2">
        <v>1</v>
      </c>
      <c r="C38" s="2">
        <f>ROW(SmtRes!A17)</f>
        <v>17</v>
      </c>
      <c r="D38" s="2">
        <f>ROW(EtalonRes!A17)</f>
        <v>17</v>
      </c>
      <c r="E38" s="2" t="s">
        <v>49</v>
      </c>
      <c r="F38" s="2" t="s">
        <v>50</v>
      </c>
      <c r="G38" s="2" t="s">
        <v>51</v>
      </c>
      <c r="H38" s="2" t="s">
        <v>31</v>
      </c>
      <c r="I38" s="2">
        <f>ROUND(I36,9)</f>
        <v>28.8</v>
      </c>
      <c r="J38" s="2">
        <v>0</v>
      </c>
      <c r="K38" s="2"/>
      <c r="L38" s="2"/>
      <c r="M38" s="2"/>
      <c r="N38" s="2"/>
      <c r="O38" s="2">
        <f t="shared" si="21"/>
        <v>1053.79</v>
      </c>
      <c r="P38" s="2">
        <f t="shared" si="22"/>
        <v>0</v>
      </c>
      <c r="Q38" s="2">
        <f t="shared" si="23"/>
        <v>1053.79</v>
      </c>
      <c r="R38" s="2">
        <f t="shared" si="24"/>
        <v>0</v>
      </c>
      <c r="S38" s="2">
        <f t="shared" si="25"/>
        <v>0</v>
      </c>
      <c r="T38" s="2">
        <f t="shared" si="26"/>
        <v>0</v>
      </c>
      <c r="U38" s="2">
        <f t="shared" si="27"/>
        <v>0</v>
      </c>
      <c r="V38" s="2">
        <f t="shared" si="28"/>
        <v>0</v>
      </c>
      <c r="W38" s="2">
        <f t="shared" si="29"/>
        <v>0</v>
      </c>
      <c r="X38" s="2">
        <f t="shared" si="30"/>
        <v>0</v>
      </c>
      <c r="Y38" s="2">
        <f t="shared" si="31"/>
        <v>0</v>
      </c>
      <c r="Z38" s="2"/>
      <c r="AA38" s="2">
        <v>45748053</v>
      </c>
      <c r="AB38" s="2">
        <f t="shared" si="32"/>
        <v>36.590000000000003</v>
      </c>
      <c r="AC38" s="2">
        <f t="shared" si="33"/>
        <v>0</v>
      </c>
      <c r="AD38" s="2">
        <f t="shared" si="34"/>
        <v>36.590000000000003</v>
      </c>
      <c r="AE38" s="2">
        <f t="shared" si="35"/>
        <v>0</v>
      </c>
      <c r="AF38" s="2">
        <f t="shared" si="36"/>
        <v>0</v>
      </c>
      <c r="AG38" s="2">
        <f t="shared" si="37"/>
        <v>0</v>
      </c>
      <c r="AH38" s="2">
        <f t="shared" si="38"/>
        <v>0</v>
      </c>
      <c r="AI38" s="2">
        <f t="shared" si="39"/>
        <v>0</v>
      </c>
      <c r="AJ38" s="2">
        <f t="shared" si="40"/>
        <v>0</v>
      </c>
      <c r="AK38" s="2">
        <v>36.590000000000003</v>
      </c>
      <c r="AL38" s="2">
        <v>0</v>
      </c>
      <c r="AM38" s="2">
        <v>36.590000000000003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1</v>
      </c>
      <c r="AW38" s="2">
        <v>1</v>
      </c>
      <c r="AX38" s="2"/>
      <c r="AY38" s="2"/>
      <c r="AZ38" s="2">
        <v>1</v>
      </c>
      <c r="BA38" s="2">
        <v>1</v>
      </c>
      <c r="BB38" s="2">
        <v>1</v>
      </c>
      <c r="BC38" s="2">
        <v>1</v>
      </c>
      <c r="BD38" s="2" t="s">
        <v>3</v>
      </c>
      <c r="BE38" s="2" t="s">
        <v>3</v>
      </c>
      <c r="BF38" s="2" t="s">
        <v>3</v>
      </c>
      <c r="BG38" s="2" t="s">
        <v>3</v>
      </c>
      <c r="BH38" s="2">
        <v>0</v>
      </c>
      <c r="BI38" s="2">
        <v>4</v>
      </c>
      <c r="BJ38" s="2" t="s">
        <v>52</v>
      </c>
      <c r="BK38" s="2"/>
      <c r="BL38" s="2"/>
      <c r="BM38" s="2">
        <v>1113</v>
      </c>
      <c r="BN38" s="2">
        <v>0</v>
      </c>
      <c r="BO38" s="2" t="s">
        <v>3</v>
      </c>
      <c r="BP38" s="2">
        <v>0</v>
      </c>
      <c r="BQ38" s="2">
        <v>150</v>
      </c>
      <c r="BR38" s="2">
        <v>0</v>
      </c>
      <c r="BS38" s="2">
        <v>1</v>
      </c>
      <c r="BT38" s="2">
        <v>1</v>
      </c>
      <c r="BU38" s="2">
        <v>1</v>
      </c>
      <c r="BV38" s="2">
        <v>1</v>
      </c>
      <c r="BW38" s="2">
        <v>1</v>
      </c>
      <c r="BX38" s="2">
        <v>1</v>
      </c>
      <c r="BY38" s="2" t="s">
        <v>3</v>
      </c>
      <c r="BZ38" s="2">
        <v>0</v>
      </c>
      <c r="CA38" s="2">
        <v>0</v>
      </c>
      <c r="CB38" s="2"/>
      <c r="CC38" s="2"/>
      <c r="CD38" s="2"/>
      <c r="CE38" s="2">
        <v>30</v>
      </c>
      <c r="CF38" s="2">
        <v>0</v>
      </c>
      <c r="CG38" s="2">
        <v>0</v>
      </c>
      <c r="CH38" s="2"/>
      <c r="CI38" s="2"/>
      <c r="CJ38" s="2"/>
      <c r="CK38" s="2"/>
      <c r="CL38" s="2"/>
      <c r="CM38" s="2">
        <v>0</v>
      </c>
      <c r="CN38" s="2" t="s">
        <v>3</v>
      </c>
      <c r="CO38" s="2">
        <v>0</v>
      </c>
      <c r="CP38" s="2">
        <f t="shared" si="41"/>
        <v>1053.79</v>
      </c>
      <c r="CQ38" s="2">
        <f t="shared" si="42"/>
        <v>0</v>
      </c>
      <c r="CR38" s="2">
        <f t="shared" si="43"/>
        <v>36.590000000000003</v>
      </c>
      <c r="CS38" s="2">
        <f t="shared" si="44"/>
        <v>0</v>
      </c>
      <c r="CT38" s="2">
        <f t="shared" si="45"/>
        <v>0</v>
      </c>
      <c r="CU38" s="2">
        <f t="shared" si="46"/>
        <v>0</v>
      </c>
      <c r="CV38" s="2">
        <f t="shared" si="47"/>
        <v>0</v>
      </c>
      <c r="CW38" s="2">
        <f t="shared" si="48"/>
        <v>0</v>
      </c>
      <c r="CX38" s="2">
        <f t="shared" si="49"/>
        <v>0</v>
      </c>
      <c r="CY38" s="2">
        <f>((S38*BZ38)/100)</f>
        <v>0</v>
      </c>
      <c r="CZ38" s="2">
        <f>((S38*CA38)/100)</f>
        <v>0</v>
      </c>
      <c r="DA38" s="2"/>
      <c r="DB38" s="2"/>
      <c r="DC38" s="2" t="s">
        <v>3</v>
      </c>
      <c r="DD38" s="2" t="s">
        <v>3</v>
      </c>
      <c r="DE38" s="2" t="s">
        <v>3</v>
      </c>
      <c r="DF38" s="2" t="s">
        <v>3</v>
      </c>
      <c r="DG38" s="2" t="s">
        <v>3</v>
      </c>
      <c r="DH38" s="2" t="s">
        <v>3</v>
      </c>
      <c r="DI38" s="2" t="s">
        <v>3</v>
      </c>
      <c r="DJ38" s="2" t="s">
        <v>3</v>
      </c>
      <c r="DK38" s="2" t="s">
        <v>3</v>
      </c>
      <c r="DL38" s="2" t="s">
        <v>3</v>
      </c>
      <c r="DM38" s="2" t="s">
        <v>3</v>
      </c>
      <c r="DN38" s="2">
        <v>0</v>
      </c>
      <c r="DO38" s="2">
        <v>0</v>
      </c>
      <c r="DP38" s="2">
        <v>1</v>
      </c>
      <c r="DQ38" s="2">
        <v>1</v>
      </c>
      <c r="DR38" s="2"/>
      <c r="DS38" s="2"/>
      <c r="DT38" s="2"/>
      <c r="DU38" s="2">
        <v>1013</v>
      </c>
      <c r="DV38" s="2" t="s">
        <v>31</v>
      </c>
      <c r="DW38" s="2" t="s">
        <v>31</v>
      </c>
      <c r="DX38" s="2">
        <v>1</v>
      </c>
      <c r="DY38" s="2"/>
      <c r="DZ38" s="2"/>
      <c r="EA38" s="2"/>
      <c r="EB38" s="2"/>
      <c r="EC38" s="2"/>
      <c r="ED38" s="2"/>
      <c r="EE38" s="2">
        <v>45707573</v>
      </c>
      <c r="EF38" s="2">
        <v>150</v>
      </c>
      <c r="EG38" s="2" t="s">
        <v>46</v>
      </c>
      <c r="EH38" s="2">
        <v>0</v>
      </c>
      <c r="EI38" s="2" t="s">
        <v>3</v>
      </c>
      <c r="EJ38" s="2">
        <v>4</v>
      </c>
      <c r="EK38" s="2">
        <v>1113</v>
      </c>
      <c r="EL38" s="2" t="s">
        <v>47</v>
      </c>
      <c r="EM38" s="2" t="s">
        <v>48</v>
      </c>
      <c r="EN38" s="2"/>
      <c r="EO38" s="2" t="s">
        <v>3</v>
      </c>
      <c r="EP38" s="2"/>
      <c r="EQ38" s="2">
        <v>0</v>
      </c>
      <c r="ER38" s="2">
        <v>36.590000000000003</v>
      </c>
      <c r="ES38" s="2">
        <v>0</v>
      </c>
      <c r="ET38" s="2">
        <v>36.590000000000003</v>
      </c>
      <c r="EU38" s="2">
        <v>0</v>
      </c>
      <c r="EV38" s="2">
        <v>0</v>
      </c>
      <c r="EW38" s="2">
        <v>0</v>
      </c>
      <c r="EX38" s="2">
        <v>0</v>
      </c>
      <c r="EY38" s="2">
        <v>0</v>
      </c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>
        <v>0</v>
      </c>
      <c r="FR38" s="2">
        <f t="shared" si="50"/>
        <v>0</v>
      </c>
      <c r="FS38" s="2">
        <v>0</v>
      </c>
      <c r="FT38" s="2"/>
      <c r="FU38" s="2"/>
      <c r="FV38" s="2"/>
      <c r="FW38" s="2"/>
      <c r="FX38" s="2">
        <v>0</v>
      </c>
      <c r="FY38" s="2">
        <v>0</v>
      </c>
      <c r="FZ38" s="2"/>
      <c r="GA38" s="2" t="s">
        <v>3</v>
      </c>
      <c r="GB38" s="2"/>
      <c r="GC38" s="2"/>
      <c r="GD38" s="2">
        <v>1</v>
      </c>
      <c r="GE38" s="2"/>
      <c r="GF38" s="2">
        <v>-2064945105</v>
      </c>
      <c r="GG38" s="2">
        <v>2</v>
      </c>
      <c r="GH38" s="2">
        <v>1</v>
      </c>
      <c r="GI38" s="2">
        <v>-2</v>
      </c>
      <c r="GJ38" s="2">
        <v>0</v>
      </c>
      <c r="GK38" s="2">
        <v>0</v>
      </c>
      <c r="GL38" s="2">
        <f t="shared" si="51"/>
        <v>0</v>
      </c>
      <c r="GM38" s="2">
        <f>ROUND(O38+X38+Y38,2)+GX38</f>
        <v>1053.79</v>
      </c>
      <c r="GN38" s="2">
        <f>IF(OR(BI38=0,BI38=1),ROUND(O38+X38+Y38,2),0)</f>
        <v>0</v>
      </c>
      <c r="GO38" s="2">
        <f>IF(BI38=2,ROUND(O38+X38+Y38,2),0)</f>
        <v>0</v>
      </c>
      <c r="GP38" s="2">
        <f>IF(BI38=4,ROUND(O38+X38+Y38,2)+GX38,0)</f>
        <v>1053.79</v>
      </c>
      <c r="GQ38" s="2"/>
      <c r="GR38" s="2">
        <v>0</v>
      </c>
      <c r="GS38" s="2">
        <v>3</v>
      </c>
      <c r="GT38" s="2">
        <v>0</v>
      </c>
      <c r="GU38" s="2" t="s">
        <v>3</v>
      </c>
      <c r="GV38" s="2">
        <f t="shared" si="52"/>
        <v>0</v>
      </c>
      <c r="GW38" s="2">
        <v>1</v>
      </c>
      <c r="GX38" s="2">
        <f t="shared" si="53"/>
        <v>0</v>
      </c>
      <c r="GY38" s="2"/>
      <c r="GZ38" s="2"/>
      <c r="HA38" s="2">
        <v>0</v>
      </c>
      <c r="HB38" s="2">
        <v>0</v>
      </c>
      <c r="HC38" s="2">
        <f t="shared" si="54"/>
        <v>0</v>
      </c>
      <c r="HD38" s="2"/>
      <c r="HE38" s="2" t="s">
        <v>3</v>
      </c>
      <c r="HF38" s="2" t="s">
        <v>3</v>
      </c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>
        <v>0</v>
      </c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x14ac:dyDescent="0.2">
      <c r="A39">
        <v>17</v>
      </c>
      <c r="B39">
        <v>1</v>
      </c>
      <c r="C39">
        <f>ROW(SmtRes!A18)</f>
        <v>18</v>
      </c>
      <c r="D39">
        <f>ROW(EtalonRes!A18)</f>
        <v>18</v>
      </c>
      <c r="E39" t="s">
        <v>49</v>
      </c>
      <c r="F39" t="s">
        <v>50</v>
      </c>
      <c r="G39" t="s">
        <v>51</v>
      </c>
      <c r="H39" t="s">
        <v>31</v>
      </c>
      <c r="I39">
        <f>ROUND(I37,9)</f>
        <v>28.8</v>
      </c>
      <c r="J39">
        <v>0</v>
      </c>
      <c r="O39">
        <f t="shared" si="21"/>
        <v>8040.42</v>
      </c>
      <c r="P39">
        <f t="shared" si="22"/>
        <v>0</v>
      </c>
      <c r="Q39">
        <f t="shared" si="23"/>
        <v>8040.42</v>
      </c>
      <c r="R39">
        <f t="shared" si="24"/>
        <v>0</v>
      </c>
      <c r="S39">
        <f t="shared" si="25"/>
        <v>0</v>
      </c>
      <c r="T39">
        <f t="shared" si="26"/>
        <v>0</v>
      </c>
      <c r="U39">
        <f t="shared" si="27"/>
        <v>0</v>
      </c>
      <c r="V39">
        <f t="shared" si="28"/>
        <v>0</v>
      </c>
      <c r="W39">
        <f t="shared" si="29"/>
        <v>0</v>
      </c>
      <c r="X39">
        <f t="shared" si="30"/>
        <v>0</v>
      </c>
      <c r="Y39">
        <f t="shared" si="31"/>
        <v>0</v>
      </c>
      <c r="AA39">
        <v>45747932</v>
      </c>
      <c r="AB39">
        <f t="shared" si="32"/>
        <v>36.590000000000003</v>
      </c>
      <c r="AC39">
        <f t="shared" si="33"/>
        <v>0</v>
      </c>
      <c r="AD39">
        <f t="shared" si="34"/>
        <v>36.590000000000003</v>
      </c>
      <c r="AE39">
        <f t="shared" si="35"/>
        <v>0</v>
      </c>
      <c r="AF39">
        <f t="shared" si="36"/>
        <v>0</v>
      </c>
      <c r="AG39">
        <f t="shared" si="37"/>
        <v>0</v>
      </c>
      <c r="AH39">
        <f t="shared" si="38"/>
        <v>0</v>
      </c>
      <c r="AI39">
        <f t="shared" si="39"/>
        <v>0</v>
      </c>
      <c r="AJ39">
        <f t="shared" si="40"/>
        <v>0</v>
      </c>
      <c r="AK39">
        <v>36.590000000000003</v>
      </c>
      <c r="AL39">
        <v>0</v>
      </c>
      <c r="AM39">
        <v>36.590000000000003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93</v>
      </c>
      <c r="AU39">
        <v>64</v>
      </c>
      <c r="AV39">
        <v>1</v>
      </c>
      <c r="AW39">
        <v>1</v>
      </c>
      <c r="AZ39">
        <v>1</v>
      </c>
      <c r="BA39">
        <v>1</v>
      </c>
      <c r="BB39">
        <v>7.63</v>
      </c>
      <c r="BC39">
        <v>1</v>
      </c>
      <c r="BD39" t="s">
        <v>3</v>
      </c>
      <c r="BE39" t="s">
        <v>3</v>
      </c>
      <c r="BF39" t="s">
        <v>3</v>
      </c>
      <c r="BG39" t="s">
        <v>3</v>
      </c>
      <c r="BH39">
        <v>0</v>
      </c>
      <c r="BI39">
        <v>4</v>
      </c>
      <c r="BJ39" t="s">
        <v>52</v>
      </c>
      <c r="BM39">
        <v>1113</v>
      </c>
      <c r="BN39">
        <v>0</v>
      </c>
      <c r="BO39" t="s">
        <v>50</v>
      </c>
      <c r="BP39">
        <v>1</v>
      </c>
      <c r="BQ39">
        <v>150</v>
      </c>
      <c r="BR39">
        <v>0</v>
      </c>
      <c r="BS39">
        <v>1</v>
      </c>
      <c r="BT39">
        <v>1</v>
      </c>
      <c r="BU39">
        <v>1</v>
      </c>
      <c r="BV39">
        <v>1</v>
      </c>
      <c r="BW39">
        <v>1</v>
      </c>
      <c r="BX39">
        <v>1</v>
      </c>
      <c r="BY39" t="s">
        <v>3</v>
      </c>
      <c r="BZ39">
        <v>93</v>
      </c>
      <c r="CA39">
        <v>64</v>
      </c>
      <c r="CE39">
        <v>30</v>
      </c>
      <c r="CF39">
        <v>0</v>
      </c>
      <c r="CG39">
        <v>0</v>
      </c>
      <c r="CM39">
        <v>0</v>
      </c>
      <c r="CN39" t="s">
        <v>3</v>
      </c>
      <c r="CO39">
        <v>0</v>
      </c>
      <c r="CP39">
        <f t="shared" si="41"/>
        <v>8040.42</v>
      </c>
      <c r="CQ39">
        <f t="shared" si="42"/>
        <v>0</v>
      </c>
      <c r="CR39">
        <f t="shared" si="43"/>
        <v>279.18</v>
      </c>
      <c r="CS39">
        <f t="shared" si="44"/>
        <v>0</v>
      </c>
      <c r="CT39">
        <f t="shared" si="45"/>
        <v>0</v>
      </c>
      <c r="CU39">
        <f t="shared" si="46"/>
        <v>0</v>
      </c>
      <c r="CV39">
        <f t="shared" si="47"/>
        <v>0</v>
      </c>
      <c r="CW39">
        <f t="shared" si="48"/>
        <v>0</v>
      </c>
      <c r="CX39">
        <f t="shared" si="49"/>
        <v>0</v>
      </c>
      <c r="CY39">
        <f>S39*(BZ39/100)</f>
        <v>0</v>
      </c>
      <c r="CZ39">
        <f>S39*(CA39/100)</f>
        <v>0</v>
      </c>
      <c r="DC39" t="s">
        <v>3</v>
      </c>
      <c r="DD39" t="s">
        <v>3</v>
      </c>
      <c r="DE39" t="s">
        <v>3</v>
      </c>
      <c r="DF39" t="s">
        <v>3</v>
      </c>
      <c r="DG39" t="s">
        <v>3</v>
      </c>
      <c r="DH39" t="s">
        <v>3</v>
      </c>
      <c r="DI39" t="s">
        <v>3</v>
      </c>
      <c r="DJ39" t="s">
        <v>3</v>
      </c>
      <c r="DK39" t="s">
        <v>3</v>
      </c>
      <c r="DL39" t="s">
        <v>3</v>
      </c>
      <c r="DM39" t="s">
        <v>3</v>
      </c>
      <c r="DN39">
        <v>0</v>
      </c>
      <c r="DO39">
        <v>0</v>
      </c>
      <c r="DP39">
        <v>1</v>
      </c>
      <c r="DQ39">
        <v>1</v>
      </c>
      <c r="DU39">
        <v>1013</v>
      </c>
      <c r="DV39" t="s">
        <v>31</v>
      </c>
      <c r="DW39" t="s">
        <v>31</v>
      </c>
      <c r="DX39">
        <v>1</v>
      </c>
      <c r="EE39">
        <v>45707573</v>
      </c>
      <c r="EF39">
        <v>150</v>
      </c>
      <c r="EG39" t="s">
        <v>46</v>
      </c>
      <c r="EH39">
        <v>0</v>
      </c>
      <c r="EI39" t="s">
        <v>3</v>
      </c>
      <c r="EJ39">
        <v>4</v>
      </c>
      <c r="EK39">
        <v>1113</v>
      </c>
      <c r="EL39" t="s">
        <v>47</v>
      </c>
      <c r="EM39" t="s">
        <v>48</v>
      </c>
      <c r="EO39" t="s">
        <v>3</v>
      </c>
      <c r="EQ39">
        <v>0</v>
      </c>
      <c r="ER39">
        <v>36.590000000000003</v>
      </c>
      <c r="ES39">
        <v>0</v>
      </c>
      <c r="ET39">
        <v>36.590000000000003</v>
      </c>
      <c r="EU39">
        <v>0</v>
      </c>
      <c r="EV39">
        <v>0</v>
      </c>
      <c r="EW39">
        <v>0</v>
      </c>
      <c r="EX39">
        <v>0</v>
      </c>
      <c r="EY39">
        <v>0</v>
      </c>
      <c r="FQ39">
        <v>0</v>
      </c>
      <c r="FR39">
        <f t="shared" si="50"/>
        <v>0</v>
      </c>
      <c r="FS39">
        <v>0</v>
      </c>
      <c r="FX39">
        <v>0</v>
      </c>
      <c r="FY39">
        <v>0</v>
      </c>
      <c r="GA39" t="s">
        <v>3</v>
      </c>
      <c r="GD39">
        <v>0</v>
      </c>
      <c r="GF39">
        <v>-2064945105</v>
      </c>
      <c r="GG39">
        <v>2</v>
      </c>
      <c r="GH39">
        <v>1</v>
      </c>
      <c r="GI39">
        <v>2</v>
      </c>
      <c r="GJ39">
        <v>0</v>
      </c>
      <c r="GK39">
        <f>ROUND(R39*(S12)/100,2)</f>
        <v>0</v>
      </c>
      <c r="GL39">
        <f t="shared" si="51"/>
        <v>0</v>
      </c>
      <c r="GM39">
        <f t="shared" ref="GM39:GM47" si="59">ROUND(O39+X39+Y39+GK39,2)+GX39</f>
        <v>8040.42</v>
      </c>
      <c r="GN39">
        <f t="shared" ref="GN39:GN47" si="60">IF(OR(BI39=0,BI39=1),ROUND(O39+X39+Y39+GK39,2),0)</f>
        <v>0</v>
      </c>
      <c r="GO39">
        <f t="shared" ref="GO39:GO47" si="61">IF(BI39=2,ROUND(O39+X39+Y39+GK39,2),0)</f>
        <v>0</v>
      </c>
      <c r="GP39">
        <f t="shared" ref="GP39:GP47" si="62">IF(BI39=4,ROUND(O39+X39+Y39+GK39,2)+GX39,0)</f>
        <v>8040.42</v>
      </c>
      <c r="GR39">
        <v>0</v>
      </c>
      <c r="GS39">
        <v>3</v>
      </c>
      <c r="GT39">
        <v>0</v>
      </c>
      <c r="GU39" t="s">
        <v>3</v>
      </c>
      <c r="GV39">
        <f t="shared" si="52"/>
        <v>0</v>
      </c>
      <c r="GW39">
        <v>1</v>
      </c>
      <c r="GX39">
        <f t="shared" si="53"/>
        <v>0</v>
      </c>
      <c r="HA39">
        <v>0</v>
      </c>
      <c r="HB39">
        <v>0</v>
      </c>
      <c r="HC39">
        <f t="shared" si="54"/>
        <v>0</v>
      </c>
      <c r="HE39" t="s">
        <v>3</v>
      </c>
      <c r="HF39" t="s">
        <v>3</v>
      </c>
      <c r="IK39">
        <v>0</v>
      </c>
    </row>
    <row r="40" spans="1:255" x14ac:dyDescent="0.2">
      <c r="A40" s="2">
        <v>17</v>
      </c>
      <c r="B40" s="2">
        <v>1</v>
      </c>
      <c r="C40" s="2">
        <f>ROW(SmtRes!A22)</f>
        <v>22</v>
      </c>
      <c r="D40" s="2">
        <f>ROW(EtalonRes!A22)</f>
        <v>22</v>
      </c>
      <c r="E40" s="2" t="s">
        <v>53</v>
      </c>
      <c r="F40" s="2" t="s">
        <v>54</v>
      </c>
      <c r="G40" s="2" t="s">
        <v>55</v>
      </c>
      <c r="H40" s="2" t="s">
        <v>56</v>
      </c>
      <c r="I40" s="2">
        <f>ROUND((I28)/100,9)</f>
        <v>1.2</v>
      </c>
      <c r="J40" s="2">
        <v>0</v>
      </c>
      <c r="K40" s="2"/>
      <c r="L40" s="2"/>
      <c r="M40" s="2"/>
      <c r="N40" s="2"/>
      <c r="O40" s="2">
        <f t="shared" si="21"/>
        <v>525.84</v>
      </c>
      <c r="P40" s="2">
        <f t="shared" si="22"/>
        <v>252.13</v>
      </c>
      <c r="Q40" s="2">
        <f t="shared" si="23"/>
        <v>144.36000000000001</v>
      </c>
      <c r="R40" s="2">
        <f t="shared" si="24"/>
        <v>12.79</v>
      </c>
      <c r="S40" s="2">
        <f t="shared" si="25"/>
        <v>129.35</v>
      </c>
      <c r="T40" s="2">
        <f t="shared" si="26"/>
        <v>0</v>
      </c>
      <c r="U40" s="2">
        <f t="shared" si="27"/>
        <v>10.752000000000001</v>
      </c>
      <c r="V40" s="2">
        <f t="shared" si="28"/>
        <v>0</v>
      </c>
      <c r="W40" s="2">
        <f t="shared" si="29"/>
        <v>0</v>
      </c>
      <c r="X40" s="2">
        <f t="shared" si="30"/>
        <v>173.33</v>
      </c>
      <c r="Y40" s="2">
        <f t="shared" si="31"/>
        <v>107.36</v>
      </c>
      <c r="Z40" s="2"/>
      <c r="AA40" s="2">
        <v>45748053</v>
      </c>
      <c r="AB40" s="2">
        <f t="shared" si="32"/>
        <v>438.2</v>
      </c>
      <c r="AC40" s="2">
        <f t="shared" si="33"/>
        <v>210.11</v>
      </c>
      <c r="AD40" s="2">
        <f t="shared" si="34"/>
        <v>120.3</v>
      </c>
      <c r="AE40" s="2">
        <f t="shared" si="35"/>
        <v>10.66</v>
      </c>
      <c r="AF40" s="2">
        <f t="shared" si="36"/>
        <v>107.79</v>
      </c>
      <c r="AG40" s="2">
        <f t="shared" si="37"/>
        <v>0</v>
      </c>
      <c r="AH40" s="2">
        <f t="shared" si="38"/>
        <v>8.9600000000000009</v>
      </c>
      <c r="AI40" s="2">
        <f t="shared" si="39"/>
        <v>0</v>
      </c>
      <c r="AJ40" s="2">
        <f t="shared" si="40"/>
        <v>0</v>
      </c>
      <c r="AK40" s="2">
        <v>438.2</v>
      </c>
      <c r="AL40" s="2">
        <v>210.11</v>
      </c>
      <c r="AM40" s="2">
        <v>120.3</v>
      </c>
      <c r="AN40" s="2">
        <v>10.66</v>
      </c>
      <c r="AO40" s="2">
        <v>107.79</v>
      </c>
      <c r="AP40" s="2">
        <v>0</v>
      </c>
      <c r="AQ40" s="2">
        <v>8.9600000000000009</v>
      </c>
      <c r="AR40" s="2">
        <v>0</v>
      </c>
      <c r="AS40" s="2">
        <v>0</v>
      </c>
      <c r="AT40" s="2">
        <v>134</v>
      </c>
      <c r="AU40" s="2">
        <v>83</v>
      </c>
      <c r="AV40" s="2">
        <v>1</v>
      </c>
      <c r="AW40" s="2">
        <v>1</v>
      </c>
      <c r="AX40" s="2"/>
      <c r="AY40" s="2"/>
      <c r="AZ40" s="2">
        <v>1</v>
      </c>
      <c r="BA40" s="2">
        <v>1</v>
      </c>
      <c r="BB40" s="2">
        <v>1</v>
      </c>
      <c r="BC40" s="2">
        <v>1</v>
      </c>
      <c r="BD40" s="2" t="s">
        <v>3</v>
      </c>
      <c r="BE40" s="2" t="s">
        <v>3</v>
      </c>
      <c r="BF40" s="2" t="s">
        <v>3</v>
      </c>
      <c r="BG40" s="2" t="s">
        <v>3</v>
      </c>
      <c r="BH40" s="2">
        <v>0</v>
      </c>
      <c r="BI40" s="2">
        <v>1</v>
      </c>
      <c r="BJ40" s="2" t="s">
        <v>57</v>
      </c>
      <c r="BK40" s="2"/>
      <c r="BL40" s="2"/>
      <c r="BM40" s="2">
        <v>159</v>
      </c>
      <c r="BN40" s="2">
        <v>0</v>
      </c>
      <c r="BO40" s="2" t="s">
        <v>3</v>
      </c>
      <c r="BP40" s="2">
        <v>0</v>
      </c>
      <c r="BQ40" s="2">
        <v>30</v>
      </c>
      <c r="BR40" s="2">
        <v>0</v>
      </c>
      <c r="BS40" s="2">
        <v>1</v>
      </c>
      <c r="BT40" s="2">
        <v>1</v>
      </c>
      <c r="BU40" s="2">
        <v>1</v>
      </c>
      <c r="BV40" s="2">
        <v>1</v>
      </c>
      <c r="BW40" s="2">
        <v>1</v>
      </c>
      <c r="BX40" s="2">
        <v>1</v>
      </c>
      <c r="BY40" s="2" t="s">
        <v>3</v>
      </c>
      <c r="BZ40" s="2">
        <v>134</v>
      </c>
      <c r="CA40" s="2">
        <v>83</v>
      </c>
      <c r="CB40" s="2"/>
      <c r="CC40" s="2"/>
      <c r="CD40" s="2"/>
      <c r="CE40" s="2">
        <v>30</v>
      </c>
      <c r="CF40" s="2">
        <v>0</v>
      </c>
      <c r="CG40" s="2">
        <v>0</v>
      </c>
      <c r="CH40" s="2"/>
      <c r="CI40" s="2"/>
      <c r="CJ40" s="2"/>
      <c r="CK40" s="2"/>
      <c r="CL40" s="2"/>
      <c r="CM40" s="2">
        <v>0</v>
      </c>
      <c r="CN40" s="2" t="s">
        <v>3</v>
      </c>
      <c r="CO40" s="2">
        <v>0</v>
      </c>
      <c r="CP40" s="2">
        <f t="shared" si="41"/>
        <v>525.84</v>
      </c>
      <c r="CQ40" s="2">
        <f t="shared" si="42"/>
        <v>210.11</v>
      </c>
      <c r="CR40" s="2">
        <f t="shared" si="43"/>
        <v>120.3</v>
      </c>
      <c r="CS40" s="2">
        <f t="shared" si="44"/>
        <v>10.66</v>
      </c>
      <c r="CT40" s="2">
        <f t="shared" si="45"/>
        <v>107.79</v>
      </c>
      <c r="CU40" s="2">
        <f t="shared" si="46"/>
        <v>0</v>
      </c>
      <c r="CV40" s="2">
        <f t="shared" si="47"/>
        <v>8.9600000000000009</v>
      </c>
      <c r="CW40" s="2">
        <f t="shared" si="48"/>
        <v>0</v>
      </c>
      <c r="CX40" s="2">
        <f t="shared" si="49"/>
        <v>0</v>
      </c>
      <c r="CY40" s="2">
        <f>((S40*BZ40)/100)</f>
        <v>173.32899999999998</v>
      </c>
      <c r="CZ40" s="2">
        <f>((S40*CA40)/100)</f>
        <v>107.36049999999999</v>
      </c>
      <c r="DA40" s="2"/>
      <c r="DB40" s="2"/>
      <c r="DC40" s="2" t="s">
        <v>3</v>
      </c>
      <c r="DD40" s="2" t="s">
        <v>3</v>
      </c>
      <c r="DE40" s="2" t="s">
        <v>3</v>
      </c>
      <c r="DF40" s="2" t="s">
        <v>3</v>
      </c>
      <c r="DG40" s="2" t="s">
        <v>3</v>
      </c>
      <c r="DH40" s="2" t="s">
        <v>3</v>
      </c>
      <c r="DI40" s="2" t="s">
        <v>3</v>
      </c>
      <c r="DJ40" s="2" t="s">
        <v>3</v>
      </c>
      <c r="DK40" s="2" t="s">
        <v>3</v>
      </c>
      <c r="DL40" s="2" t="s">
        <v>3</v>
      </c>
      <c r="DM40" s="2" t="s">
        <v>3</v>
      </c>
      <c r="DN40" s="2">
        <v>0</v>
      </c>
      <c r="DO40" s="2">
        <v>0</v>
      </c>
      <c r="DP40" s="2">
        <v>1</v>
      </c>
      <c r="DQ40" s="2">
        <v>1</v>
      </c>
      <c r="DR40" s="2"/>
      <c r="DS40" s="2"/>
      <c r="DT40" s="2"/>
      <c r="DU40" s="2">
        <v>1013</v>
      </c>
      <c r="DV40" s="2" t="s">
        <v>56</v>
      </c>
      <c r="DW40" s="2" t="s">
        <v>56</v>
      </c>
      <c r="DX40" s="2">
        <v>1</v>
      </c>
      <c r="DY40" s="2"/>
      <c r="DZ40" s="2"/>
      <c r="EA40" s="2"/>
      <c r="EB40" s="2"/>
      <c r="EC40" s="2"/>
      <c r="ED40" s="2"/>
      <c r="EE40" s="2">
        <v>45706619</v>
      </c>
      <c r="EF40" s="2">
        <v>30</v>
      </c>
      <c r="EG40" s="2" t="s">
        <v>58</v>
      </c>
      <c r="EH40" s="2">
        <v>0</v>
      </c>
      <c r="EI40" s="2" t="s">
        <v>3</v>
      </c>
      <c r="EJ40" s="2">
        <v>1</v>
      </c>
      <c r="EK40" s="2">
        <v>159</v>
      </c>
      <c r="EL40" s="2" t="s">
        <v>59</v>
      </c>
      <c r="EM40" s="2" t="s">
        <v>60</v>
      </c>
      <c r="EN40" s="2"/>
      <c r="EO40" s="2" t="s">
        <v>3</v>
      </c>
      <c r="EP40" s="2"/>
      <c r="EQ40" s="2">
        <v>0</v>
      </c>
      <c r="ER40" s="2">
        <v>438.2</v>
      </c>
      <c r="ES40" s="2">
        <v>210.11</v>
      </c>
      <c r="ET40" s="2">
        <v>120.3</v>
      </c>
      <c r="EU40" s="2">
        <v>10.66</v>
      </c>
      <c r="EV40" s="2">
        <v>107.79</v>
      </c>
      <c r="EW40" s="2">
        <v>8.9600000000000009</v>
      </c>
      <c r="EX40" s="2">
        <v>0</v>
      </c>
      <c r="EY40" s="2">
        <v>0</v>
      </c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>
        <v>0</v>
      </c>
      <c r="FR40" s="2">
        <f t="shared" si="50"/>
        <v>0</v>
      </c>
      <c r="FS40" s="2">
        <v>0</v>
      </c>
      <c r="FT40" s="2"/>
      <c r="FU40" s="2"/>
      <c r="FV40" s="2"/>
      <c r="FW40" s="2"/>
      <c r="FX40" s="2">
        <v>134</v>
      </c>
      <c r="FY40" s="2">
        <v>83</v>
      </c>
      <c r="FZ40" s="2"/>
      <c r="GA40" s="2" t="s">
        <v>3</v>
      </c>
      <c r="GB40" s="2"/>
      <c r="GC40" s="2"/>
      <c r="GD40" s="2">
        <v>0</v>
      </c>
      <c r="GE40" s="2"/>
      <c r="GF40" s="2">
        <v>1504522766</v>
      </c>
      <c r="GG40" s="2">
        <v>2</v>
      </c>
      <c r="GH40" s="2">
        <v>1</v>
      </c>
      <c r="GI40" s="2">
        <v>-2</v>
      </c>
      <c r="GJ40" s="2">
        <v>0</v>
      </c>
      <c r="GK40" s="2">
        <f>ROUND(R40*(R12)/100,2)</f>
        <v>22.38</v>
      </c>
      <c r="GL40" s="2">
        <f t="shared" si="51"/>
        <v>0</v>
      </c>
      <c r="GM40" s="2">
        <f t="shared" si="59"/>
        <v>828.91</v>
      </c>
      <c r="GN40" s="2">
        <f t="shared" si="60"/>
        <v>828.91</v>
      </c>
      <c r="GO40" s="2">
        <f t="shared" si="61"/>
        <v>0</v>
      </c>
      <c r="GP40" s="2">
        <f t="shared" si="62"/>
        <v>0</v>
      </c>
      <c r="GQ40" s="2"/>
      <c r="GR40" s="2">
        <v>0</v>
      </c>
      <c r="GS40" s="2">
        <v>3</v>
      </c>
      <c r="GT40" s="2">
        <v>0</v>
      </c>
      <c r="GU40" s="2" t="s">
        <v>3</v>
      </c>
      <c r="GV40" s="2">
        <f t="shared" si="52"/>
        <v>0</v>
      </c>
      <c r="GW40" s="2">
        <v>1</v>
      </c>
      <c r="GX40" s="2">
        <f t="shared" si="53"/>
        <v>0</v>
      </c>
      <c r="GY40" s="2"/>
      <c r="GZ40" s="2"/>
      <c r="HA40" s="2">
        <v>0</v>
      </c>
      <c r="HB40" s="2">
        <v>0</v>
      </c>
      <c r="HC40" s="2">
        <f t="shared" si="54"/>
        <v>0</v>
      </c>
      <c r="HD40" s="2"/>
      <c r="HE40" s="2" t="s">
        <v>3</v>
      </c>
      <c r="HF40" s="2" t="s">
        <v>3</v>
      </c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>
        <v>0</v>
      </c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x14ac:dyDescent="0.2">
      <c r="A41">
        <v>17</v>
      </c>
      <c r="B41">
        <v>1</v>
      </c>
      <c r="C41">
        <f>ROW(SmtRes!A26)</f>
        <v>26</v>
      </c>
      <c r="D41">
        <f>ROW(EtalonRes!A26)</f>
        <v>26</v>
      </c>
      <c r="E41" t="s">
        <v>53</v>
      </c>
      <c r="F41" t="s">
        <v>54</v>
      </c>
      <c r="G41" t="s">
        <v>55</v>
      </c>
      <c r="H41" t="s">
        <v>56</v>
      </c>
      <c r="I41">
        <f>ROUND((I29)/100,9)</f>
        <v>1.2</v>
      </c>
      <c r="J41">
        <v>0</v>
      </c>
      <c r="O41">
        <f t="shared" si="21"/>
        <v>6157.14</v>
      </c>
      <c r="P41">
        <f t="shared" si="22"/>
        <v>1696.83</v>
      </c>
      <c r="Q41">
        <f t="shared" si="23"/>
        <v>1209.74</v>
      </c>
      <c r="R41">
        <f t="shared" si="24"/>
        <v>321.41000000000003</v>
      </c>
      <c r="S41">
        <f t="shared" si="25"/>
        <v>3250.57</v>
      </c>
      <c r="T41">
        <f t="shared" si="26"/>
        <v>0</v>
      </c>
      <c r="U41">
        <f t="shared" si="27"/>
        <v>10.752000000000001</v>
      </c>
      <c r="V41">
        <f t="shared" si="28"/>
        <v>0</v>
      </c>
      <c r="W41">
        <f t="shared" si="29"/>
        <v>0</v>
      </c>
      <c r="X41">
        <f t="shared" si="30"/>
        <v>3445.6</v>
      </c>
      <c r="Y41">
        <f t="shared" si="31"/>
        <v>1332.73</v>
      </c>
      <c r="AA41">
        <v>45747932</v>
      </c>
      <c r="AB41">
        <f t="shared" si="32"/>
        <v>438.2</v>
      </c>
      <c r="AC41">
        <f t="shared" si="33"/>
        <v>210.11</v>
      </c>
      <c r="AD41">
        <f t="shared" si="34"/>
        <v>120.3</v>
      </c>
      <c r="AE41">
        <f t="shared" si="35"/>
        <v>10.66</v>
      </c>
      <c r="AF41">
        <f t="shared" si="36"/>
        <v>107.79</v>
      </c>
      <c r="AG41">
        <f t="shared" si="37"/>
        <v>0</v>
      </c>
      <c r="AH41">
        <f t="shared" si="38"/>
        <v>8.9600000000000009</v>
      </c>
      <c r="AI41">
        <f t="shared" si="39"/>
        <v>0</v>
      </c>
      <c r="AJ41">
        <f t="shared" si="40"/>
        <v>0</v>
      </c>
      <c r="AK41">
        <v>438.2</v>
      </c>
      <c r="AL41">
        <v>210.11</v>
      </c>
      <c r="AM41">
        <v>120.3</v>
      </c>
      <c r="AN41">
        <v>10.66</v>
      </c>
      <c r="AO41">
        <v>107.79</v>
      </c>
      <c r="AP41">
        <v>0</v>
      </c>
      <c r="AQ41">
        <v>8.9600000000000009</v>
      </c>
      <c r="AR41">
        <v>0</v>
      </c>
      <c r="AS41">
        <v>0</v>
      </c>
      <c r="AT41">
        <v>106</v>
      </c>
      <c r="AU41">
        <v>41</v>
      </c>
      <c r="AV41">
        <v>1</v>
      </c>
      <c r="AW41">
        <v>1</v>
      </c>
      <c r="AZ41">
        <v>1</v>
      </c>
      <c r="BA41">
        <v>25.13</v>
      </c>
      <c r="BB41">
        <v>8.3800000000000008</v>
      </c>
      <c r="BC41">
        <v>6.73</v>
      </c>
      <c r="BD41" t="s">
        <v>3</v>
      </c>
      <c r="BE41" t="s">
        <v>3</v>
      </c>
      <c r="BF41" t="s">
        <v>3</v>
      </c>
      <c r="BG41" t="s">
        <v>3</v>
      </c>
      <c r="BH41">
        <v>0</v>
      </c>
      <c r="BI41">
        <v>1</v>
      </c>
      <c r="BJ41" t="s">
        <v>57</v>
      </c>
      <c r="BM41">
        <v>159</v>
      </c>
      <c r="BN41">
        <v>0</v>
      </c>
      <c r="BO41" t="s">
        <v>54</v>
      </c>
      <c r="BP41">
        <v>1</v>
      </c>
      <c r="BQ41">
        <v>30</v>
      </c>
      <c r="BR41">
        <v>0</v>
      </c>
      <c r="BS41">
        <v>25.13</v>
      </c>
      <c r="BT41">
        <v>1</v>
      </c>
      <c r="BU41">
        <v>1</v>
      </c>
      <c r="BV41">
        <v>1</v>
      </c>
      <c r="BW41">
        <v>1</v>
      </c>
      <c r="BX41">
        <v>1</v>
      </c>
      <c r="BY41" t="s">
        <v>3</v>
      </c>
      <c r="BZ41">
        <v>106</v>
      </c>
      <c r="CA41">
        <v>41</v>
      </c>
      <c r="CE41">
        <v>30</v>
      </c>
      <c r="CF41">
        <v>0</v>
      </c>
      <c r="CG41">
        <v>0</v>
      </c>
      <c r="CM41">
        <v>0</v>
      </c>
      <c r="CN41" t="s">
        <v>3</v>
      </c>
      <c r="CO41">
        <v>0</v>
      </c>
      <c r="CP41">
        <f t="shared" si="41"/>
        <v>6157.1399999999994</v>
      </c>
      <c r="CQ41">
        <f t="shared" si="42"/>
        <v>1414.04</v>
      </c>
      <c r="CR41">
        <f t="shared" si="43"/>
        <v>1008.11</v>
      </c>
      <c r="CS41">
        <f t="shared" si="44"/>
        <v>267.89</v>
      </c>
      <c r="CT41">
        <f t="shared" si="45"/>
        <v>2708.76</v>
      </c>
      <c r="CU41">
        <f t="shared" si="46"/>
        <v>0</v>
      </c>
      <c r="CV41">
        <f t="shared" si="47"/>
        <v>8.9600000000000009</v>
      </c>
      <c r="CW41">
        <f t="shared" si="48"/>
        <v>0</v>
      </c>
      <c r="CX41">
        <f t="shared" si="49"/>
        <v>0</v>
      </c>
      <c r="CY41">
        <f>S41*(BZ41/100)</f>
        <v>3445.6042000000002</v>
      </c>
      <c r="CZ41">
        <f>S41*(CA41/100)</f>
        <v>1332.7337</v>
      </c>
      <c r="DC41" t="s">
        <v>3</v>
      </c>
      <c r="DD41" t="s">
        <v>3</v>
      </c>
      <c r="DE41" t="s">
        <v>3</v>
      </c>
      <c r="DF41" t="s">
        <v>3</v>
      </c>
      <c r="DG41" t="s">
        <v>3</v>
      </c>
      <c r="DH41" t="s">
        <v>3</v>
      </c>
      <c r="DI41" t="s">
        <v>3</v>
      </c>
      <c r="DJ41" t="s">
        <v>3</v>
      </c>
      <c r="DK41" t="s">
        <v>3</v>
      </c>
      <c r="DL41" t="s">
        <v>3</v>
      </c>
      <c r="DM41" t="s">
        <v>3</v>
      </c>
      <c r="DN41">
        <v>134</v>
      </c>
      <c r="DO41">
        <v>83</v>
      </c>
      <c r="DP41">
        <v>1</v>
      </c>
      <c r="DQ41">
        <v>1</v>
      </c>
      <c r="DU41">
        <v>1013</v>
      </c>
      <c r="DV41" t="s">
        <v>56</v>
      </c>
      <c r="DW41" t="s">
        <v>56</v>
      </c>
      <c r="DX41">
        <v>1</v>
      </c>
      <c r="EE41">
        <v>45706619</v>
      </c>
      <c r="EF41">
        <v>30</v>
      </c>
      <c r="EG41" t="s">
        <v>58</v>
      </c>
      <c r="EH41">
        <v>0</v>
      </c>
      <c r="EI41" t="s">
        <v>3</v>
      </c>
      <c r="EJ41">
        <v>1</v>
      </c>
      <c r="EK41">
        <v>159</v>
      </c>
      <c r="EL41" t="s">
        <v>59</v>
      </c>
      <c r="EM41" t="s">
        <v>60</v>
      </c>
      <c r="EO41" t="s">
        <v>3</v>
      </c>
      <c r="EQ41">
        <v>0</v>
      </c>
      <c r="ER41">
        <v>438.2</v>
      </c>
      <c r="ES41">
        <v>210.11</v>
      </c>
      <c r="ET41">
        <v>120.3</v>
      </c>
      <c r="EU41">
        <v>10.66</v>
      </c>
      <c r="EV41">
        <v>107.79</v>
      </c>
      <c r="EW41">
        <v>8.9600000000000009</v>
      </c>
      <c r="EX41">
        <v>0</v>
      </c>
      <c r="EY41">
        <v>0</v>
      </c>
      <c r="FQ41">
        <v>0</v>
      </c>
      <c r="FR41">
        <f t="shared" si="50"/>
        <v>0</v>
      </c>
      <c r="FS41">
        <v>0</v>
      </c>
      <c r="FX41">
        <v>134</v>
      </c>
      <c r="FY41">
        <v>83</v>
      </c>
      <c r="GA41" t="s">
        <v>3</v>
      </c>
      <c r="GD41">
        <v>0</v>
      </c>
      <c r="GF41">
        <v>1504522766</v>
      </c>
      <c r="GG41">
        <v>2</v>
      </c>
      <c r="GH41">
        <v>1</v>
      </c>
      <c r="GI41">
        <v>2</v>
      </c>
      <c r="GJ41">
        <v>0</v>
      </c>
      <c r="GK41">
        <f>ROUND(R41*(S12)/100,2)</f>
        <v>504.61</v>
      </c>
      <c r="GL41">
        <f t="shared" si="51"/>
        <v>0</v>
      </c>
      <c r="GM41">
        <f t="shared" si="59"/>
        <v>11440.08</v>
      </c>
      <c r="GN41">
        <f t="shared" si="60"/>
        <v>11440.08</v>
      </c>
      <c r="GO41">
        <f t="shared" si="61"/>
        <v>0</v>
      </c>
      <c r="GP41">
        <f t="shared" si="62"/>
        <v>0</v>
      </c>
      <c r="GR41">
        <v>0</v>
      </c>
      <c r="GS41">
        <v>3</v>
      </c>
      <c r="GT41">
        <v>0</v>
      </c>
      <c r="GU41" t="s">
        <v>3</v>
      </c>
      <c r="GV41">
        <f t="shared" si="52"/>
        <v>0</v>
      </c>
      <c r="GW41">
        <v>1</v>
      </c>
      <c r="GX41">
        <f t="shared" si="53"/>
        <v>0</v>
      </c>
      <c r="HA41">
        <v>0</v>
      </c>
      <c r="HB41">
        <v>0</v>
      </c>
      <c r="HC41">
        <f t="shared" si="54"/>
        <v>0</v>
      </c>
      <c r="HE41" t="s">
        <v>3</v>
      </c>
      <c r="HF41" t="s">
        <v>3</v>
      </c>
      <c r="IK41">
        <v>0</v>
      </c>
    </row>
    <row r="42" spans="1:255" x14ac:dyDescent="0.2">
      <c r="A42" s="2">
        <v>18</v>
      </c>
      <c r="B42" s="2">
        <v>1</v>
      </c>
      <c r="C42" s="2">
        <v>22</v>
      </c>
      <c r="D42" s="2"/>
      <c r="E42" s="2" t="s">
        <v>61</v>
      </c>
      <c r="F42" s="2" t="s">
        <v>62</v>
      </c>
      <c r="G42" s="2" t="s">
        <v>63</v>
      </c>
      <c r="H42" s="2" t="s">
        <v>44</v>
      </c>
      <c r="I42" s="2">
        <f>I40*J42</f>
        <v>14.268000000000001</v>
      </c>
      <c r="J42" s="2">
        <v>11.89</v>
      </c>
      <c r="K42" s="2"/>
      <c r="L42" s="2"/>
      <c r="M42" s="2"/>
      <c r="N42" s="2"/>
      <c r="O42" s="2">
        <f t="shared" si="21"/>
        <v>4362.4399999999996</v>
      </c>
      <c r="P42" s="2">
        <f t="shared" si="22"/>
        <v>4362.4399999999996</v>
      </c>
      <c r="Q42" s="2">
        <f t="shared" si="23"/>
        <v>0</v>
      </c>
      <c r="R42" s="2">
        <f t="shared" si="24"/>
        <v>0</v>
      </c>
      <c r="S42" s="2">
        <f t="shared" si="25"/>
        <v>0</v>
      </c>
      <c r="T42" s="2">
        <f t="shared" si="26"/>
        <v>0</v>
      </c>
      <c r="U42" s="2">
        <f t="shared" si="27"/>
        <v>0</v>
      </c>
      <c r="V42" s="2">
        <f t="shared" si="28"/>
        <v>0</v>
      </c>
      <c r="W42" s="2">
        <f t="shared" si="29"/>
        <v>0</v>
      </c>
      <c r="X42" s="2">
        <f t="shared" si="30"/>
        <v>0</v>
      </c>
      <c r="Y42" s="2">
        <f t="shared" si="31"/>
        <v>0</v>
      </c>
      <c r="Z42" s="2"/>
      <c r="AA42" s="2">
        <v>45748053</v>
      </c>
      <c r="AB42" s="2">
        <f t="shared" si="32"/>
        <v>305.75</v>
      </c>
      <c r="AC42" s="2">
        <f t="shared" si="33"/>
        <v>305.75</v>
      </c>
      <c r="AD42" s="2">
        <f t="shared" si="34"/>
        <v>0</v>
      </c>
      <c r="AE42" s="2">
        <f t="shared" si="35"/>
        <v>0</v>
      </c>
      <c r="AF42" s="2">
        <f t="shared" si="36"/>
        <v>0</v>
      </c>
      <c r="AG42" s="2">
        <f t="shared" si="37"/>
        <v>0</v>
      </c>
      <c r="AH42" s="2">
        <f t="shared" si="38"/>
        <v>0</v>
      </c>
      <c r="AI42" s="2">
        <f t="shared" si="39"/>
        <v>0</v>
      </c>
      <c r="AJ42" s="2">
        <f t="shared" si="40"/>
        <v>0</v>
      </c>
      <c r="AK42" s="2">
        <v>305.75</v>
      </c>
      <c r="AL42" s="2">
        <v>305.75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134</v>
      </c>
      <c r="AU42" s="2">
        <v>83</v>
      </c>
      <c r="AV42" s="2">
        <v>1</v>
      </c>
      <c r="AW42" s="2">
        <v>1</v>
      </c>
      <c r="AX42" s="2"/>
      <c r="AY42" s="2"/>
      <c r="AZ42" s="2">
        <v>1</v>
      </c>
      <c r="BA42" s="2">
        <v>1</v>
      </c>
      <c r="BB42" s="2">
        <v>1</v>
      </c>
      <c r="BC42" s="2">
        <v>1</v>
      </c>
      <c r="BD42" s="2" t="s">
        <v>3</v>
      </c>
      <c r="BE42" s="2" t="s">
        <v>3</v>
      </c>
      <c r="BF42" s="2" t="s">
        <v>3</v>
      </c>
      <c r="BG42" s="2" t="s">
        <v>3</v>
      </c>
      <c r="BH42" s="2">
        <v>3</v>
      </c>
      <c r="BI42" s="2">
        <v>1</v>
      </c>
      <c r="BJ42" s="2" t="s">
        <v>64</v>
      </c>
      <c r="BK42" s="2"/>
      <c r="BL42" s="2"/>
      <c r="BM42" s="2">
        <v>159</v>
      </c>
      <c r="BN42" s="2">
        <v>0</v>
      </c>
      <c r="BO42" s="2" t="s">
        <v>3</v>
      </c>
      <c r="BP42" s="2">
        <v>0</v>
      </c>
      <c r="BQ42" s="2">
        <v>30</v>
      </c>
      <c r="BR42" s="2">
        <v>0</v>
      </c>
      <c r="BS42" s="2">
        <v>1</v>
      </c>
      <c r="BT42" s="2">
        <v>1</v>
      </c>
      <c r="BU42" s="2">
        <v>1</v>
      </c>
      <c r="BV42" s="2">
        <v>1</v>
      </c>
      <c r="BW42" s="2">
        <v>1</v>
      </c>
      <c r="BX42" s="2">
        <v>1</v>
      </c>
      <c r="BY42" s="2" t="s">
        <v>3</v>
      </c>
      <c r="BZ42" s="2">
        <v>134</v>
      </c>
      <c r="CA42" s="2">
        <v>83</v>
      </c>
      <c r="CB42" s="2"/>
      <c r="CC42" s="2"/>
      <c r="CD42" s="2"/>
      <c r="CE42" s="2">
        <v>30</v>
      </c>
      <c r="CF42" s="2">
        <v>0</v>
      </c>
      <c r="CG42" s="2">
        <v>0</v>
      </c>
      <c r="CH42" s="2"/>
      <c r="CI42" s="2"/>
      <c r="CJ42" s="2"/>
      <c r="CK42" s="2"/>
      <c r="CL42" s="2"/>
      <c r="CM42" s="2">
        <v>0</v>
      </c>
      <c r="CN42" s="2" t="s">
        <v>3</v>
      </c>
      <c r="CO42" s="2">
        <v>0</v>
      </c>
      <c r="CP42" s="2">
        <f t="shared" si="41"/>
        <v>4362.4399999999996</v>
      </c>
      <c r="CQ42" s="2">
        <f t="shared" si="42"/>
        <v>305.75</v>
      </c>
      <c r="CR42" s="2">
        <f t="shared" si="43"/>
        <v>0</v>
      </c>
      <c r="CS42" s="2">
        <f t="shared" si="44"/>
        <v>0</v>
      </c>
      <c r="CT42" s="2">
        <f t="shared" si="45"/>
        <v>0</v>
      </c>
      <c r="CU42" s="2">
        <f t="shared" si="46"/>
        <v>0</v>
      </c>
      <c r="CV42" s="2">
        <f t="shared" si="47"/>
        <v>0</v>
      </c>
      <c r="CW42" s="2">
        <f t="shared" si="48"/>
        <v>0</v>
      </c>
      <c r="CX42" s="2">
        <f t="shared" si="49"/>
        <v>0</v>
      </c>
      <c r="CY42" s="2">
        <f>((S42*BZ42)/100)</f>
        <v>0</v>
      </c>
      <c r="CZ42" s="2">
        <f>((S42*CA42)/100)</f>
        <v>0</v>
      </c>
      <c r="DA42" s="2"/>
      <c r="DB42" s="2"/>
      <c r="DC42" s="2" t="s">
        <v>3</v>
      </c>
      <c r="DD42" s="2" t="s">
        <v>3</v>
      </c>
      <c r="DE42" s="2" t="s">
        <v>3</v>
      </c>
      <c r="DF42" s="2" t="s">
        <v>3</v>
      </c>
      <c r="DG42" s="2" t="s">
        <v>3</v>
      </c>
      <c r="DH42" s="2" t="s">
        <v>3</v>
      </c>
      <c r="DI42" s="2" t="s">
        <v>3</v>
      </c>
      <c r="DJ42" s="2" t="s">
        <v>3</v>
      </c>
      <c r="DK42" s="2" t="s">
        <v>3</v>
      </c>
      <c r="DL42" s="2" t="s">
        <v>3</v>
      </c>
      <c r="DM42" s="2" t="s">
        <v>3</v>
      </c>
      <c r="DN42" s="2">
        <v>0</v>
      </c>
      <c r="DO42" s="2">
        <v>0</v>
      </c>
      <c r="DP42" s="2">
        <v>1</v>
      </c>
      <c r="DQ42" s="2">
        <v>1</v>
      </c>
      <c r="DR42" s="2"/>
      <c r="DS42" s="2"/>
      <c r="DT42" s="2"/>
      <c r="DU42" s="2">
        <v>1009</v>
      </c>
      <c r="DV42" s="2" t="s">
        <v>44</v>
      </c>
      <c r="DW42" s="2" t="s">
        <v>44</v>
      </c>
      <c r="DX42" s="2">
        <v>1000</v>
      </c>
      <c r="DY42" s="2"/>
      <c r="DZ42" s="2"/>
      <c r="EA42" s="2"/>
      <c r="EB42" s="2"/>
      <c r="EC42" s="2"/>
      <c r="ED42" s="2"/>
      <c r="EE42" s="2">
        <v>45706619</v>
      </c>
      <c r="EF42" s="2">
        <v>30</v>
      </c>
      <c r="EG42" s="2" t="s">
        <v>58</v>
      </c>
      <c r="EH42" s="2">
        <v>0</v>
      </c>
      <c r="EI42" s="2" t="s">
        <v>3</v>
      </c>
      <c r="EJ42" s="2">
        <v>1</v>
      </c>
      <c r="EK42" s="2">
        <v>159</v>
      </c>
      <c r="EL42" s="2" t="s">
        <v>59</v>
      </c>
      <c r="EM42" s="2" t="s">
        <v>60</v>
      </c>
      <c r="EN42" s="2"/>
      <c r="EO42" s="2" t="s">
        <v>3</v>
      </c>
      <c r="EP42" s="2"/>
      <c r="EQ42" s="2">
        <v>0</v>
      </c>
      <c r="ER42" s="2">
        <v>305.75</v>
      </c>
      <c r="ES42" s="2">
        <v>305.75</v>
      </c>
      <c r="ET42" s="2">
        <v>0</v>
      </c>
      <c r="EU42" s="2">
        <v>0</v>
      </c>
      <c r="EV42" s="2">
        <v>0</v>
      </c>
      <c r="EW42" s="2">
        <v>0</v>
      </c>
      <c r="EX42" s="2">
        <v>0</v>
      </c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>
        <v>0</v>
      </c>
      <c r="FR42" s="2">
        <f t="shared" si="50"/>
        <v>0</v>
      </c>
      <c r="FS42" s="2">
        <v>0</v>
      </c>
      <c r="FT42" s="2"/>
      <c r="FU42" s="2"/>
      <c r="FV42" s="2"/>
      <c r="FW42" s="2"/>
      <c r="FX42" s="2">
        <v>134</v>
      </c>
      <c r="FY42" s="2">
        <v>83</v>
      </c>
      <c r="FZ42" s="2"/>
      <c r="GA42" s="2" t="s">
        <v>3</v>
      </c>
      <c r="GB42" s="2"/>
      <c r="GC42" s="2"/>
      <c r="GD42" s="2">
        <v>0</v>
      </c>
      <c r="GE42" s="2"/>
      <c r="GF42" s="2">
        <v>-2137020924</v>
      </c>
      <c r="GG42" s="2">
        <v>2</v>
      </c>
      <c r="GH42" s="2">
        <v>1</v>
      </c>
      <c r="GI42" s="2">
        <v>-2</v>
      </c>
      <c r="GJ42" s="2">
        <v>0</v>
      </c>
      <c r="GK42" s="2">
        <f>ROUND(R42*(R12)/100,2)</f>
        <v>0</v>
      </c>
      <c r="GL42" s="2">
        <f t="shared" si="51"/>
        <v>0</v>
      </c>
      <c r="GM42" s="2">
        <f t="shared" si="59"/>
        <v>4362.4399999999996</v>
      </c>
      <c r="GN42" s="2">
        <f t="shared" si="60"/>
        <v>4362.4399999999996</v>
      </c>
      <c r="GO42" s="2">
        <f t="shared" si="61"/>
        <v>0</v>
      </c>
      <c r="GP42" s="2">
        <f t="shared" si="62"/>
        <v>0</v>
      </c>
      <c r="GQ42" s="2"/>
      <c r="GR42" s="2">
        <v>0</v>
      </c>
      <c r="GS42" s="2">
        <v>3</v>
      </c>
      <c r="GT42" s="2">
        <v>0</v>
      </c>
      <c r="GU42" s="2" t="s">
        <v>3</v>
      </c>
      <c r="GV42" s="2">
        <f t="shared" si="52"/>
        <v>0</v>
      </c>
      <c r="GW42" s="2">
        <v>1</v>
      </c>
      <c r="GX42" s="2">
        <f t="shared" si="53"/>
        <v>0</v>
      </c>
      <c r="GY42" s="2"/>
      <c r="GZ42" s="2"/>
      <c r="HA42" s="2">
        <v>0</v>
      </c>
      <c r="HB42" s="2">
        <v>0</v>
      </c>
      <c r="HC42" s="2">
        <f t="shared" si="54"/>
        <v>0</v>
      </c>
      <c r="HD42" s="2"/>
      <c r="HE42" s="2" t="s">
        <v>3</v>
      </c>
      <c r="HF42" s="2" t="s">
        <v>3</v>
      </c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>
        <v>0</v>
      </c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x14ac:dyDescent="0.2">
      <c r="A43">
        <v>18</v>
      </c>
      <c r="B43">
        <v>1</v>
      </c>
      <c r="C43">
        <v>26</v>
      </c>
      <c r="E43" t="s">
        <v>61</v>
      </c>
      <c r="F43" t="s">
        <v>62</v>
      </c>
      <c r="G43" t="s">
        <v>63</v>
      </c>
      <c r="H43" t="s">
        <v>44</v>
      </c>
      <c r="I43">
        <f>I41*J43</f>
        <v>14.268000000000001</v>
      </c>
      <c r="J43">
        <v>11.89</v>
      </c>
      <c r="O43">
        <f t="shared" si="21"/>
        <v>38127.730000000003</v>
      </c>
      <c r="P43">
        <f t="shared" si="22"/>
        <v>38127.730000000003</v>
      </c>
      <c r="Q43">
        <f t="shared" si="23"/>
        <v>0</v>
      </c>
      <c r="R43">
        <f t="shared" si="24"/>
        <v>0</v>
      </c>
      <c r="S43">
        <f t="shared" si="25"/>
        <v>0</v>
      </c>
      <c r="T43">
        <f t="shared" si="26"/>
        <v>0</v>
      </c>
      <c r="U43">
        <f t="shared" si="27"/>
        <v>0</v>
      </c>
      <c r="V43">
        <f t="shared" si="28"/>
        <v>0</v>
      </c>
      <c r="W43">
        <f t="shared" si="29"/>
        <v>0</v>
      </c>
      <c r="X43">
        <f t="shared" si="30"/>
        <v>0</v>
      </c>
      <c r="Y43">
        <f t="shared" si="31"/>
        <v>0</v>
      </c>
      <c r="AA43">
        <v>45747932</v>
      </c>
      <c r="AB43">
        <f t="shared" si="32"/>
        <v>305.75</v>
      </c>
      <c r="AC43">
        <f t="shared" si="33"/>
        <v>305.75</v>
      </c>
      <c r="AD43">
        <f t="shared" si="34"/>
        <v>0</v>
      </c>
      <c r="AE43">
        <f t="shared" si="35"/>
        <v>0</v>
      </c>
      <c r="AF43">
        <f t="shared" si="36"/>
        <v>0</v>
      </c>
      <c r="AG43">
        <f t="shared" si="37"/>
        <v>0</v>
      </c>
      <c r="AH43">
        <f t="shared" si="38"/>
        <v>0</v>
      </c>
      <c r="AI43">
        <f t="shared" si="39"/>
        <v>0</v>
      </c>
      <c r="AJ43">
        <f t="shared" si="40"/>
        <v>0</v>
      </c>
      <c r="AK43">
        <v>305.75</v>
      </c>
      <c r="AL43">
        <v>305.75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1</v>
      </c>
      <c r="AW43">
        <v>1</v>
      </c>
      <c r="AZ43">
        <v>1</v>
      </c>
      <c r="BA43">
        <v>1</v>
      </c>
      <c r="BB43">
        <v>1</v>
      </c>
      <c r="BC43">
        <v>8.74</v>
      </c>
      <c r="BD43" t="s">
        <v>3</v>
      </c>
      <c r="BE43" t="s">
        <v>3</v>
      </c>
      <c r="BF43" t="s">
        <v>3</v>
      </c>
      <c r="BG43" t="s">
        <v>3</v>
      </c>
      <c r="BH43">
        <v>3</v>
      </c>
      <c r="BI43">
        <v>1</v>
      </c>
      <c r="BJ43" t="s">
        <v>64</v>
      </c>
      <c r="BM43">
        <v>159</v>
      </c>
      <c r="BN43">
        <v>0</v>
      </c>
      <c r="BO43" t="s">
        <v>62</v>
      </c>
      <c r="BP43">
        <v>1</v>
      </c>
      <c r="BQ43">
        <v>30</v>
      </c>
      <c r="BR43">
        <v>0</v>
      </c>
      <c r="BS43">
        <v>1</v>
      </c>
      <c r="BT43">
        <v>1</v>
      </c>
      <c r="BU43">
        <v>1</v>
      </c>
      <c r="BV43">
        <v>1</v>
      </c>
      <c r="BW43">
        <v>1</v>
      </c>
      <c r="BX43">
        <v>1</v>
      </c>
      <c r="BY43" t="s">
        <v>3</v>
      </c>
      <c r="BZ43">
        <v>0</v>
      </c>
      <c r="CA43">
        <v>0</v>
      </c>
      <c r="CE43">
        <v>30</v>
      </c>
      <c r="CF43">
        <v>0</v>
      </c>
      <c r="CG43">
        <v>0</v>
      </c>
      <c r="CM43">
        <v>0</v>
      </c>
      <c r="CN43" t="s">
        <v>3</v>
      </c>
      <c r="CO43">
        <v>0</v>
      </c>
      <c r="CP43">
        <f t="shared" si="41"/>
        <v>38127.730000000003</v>
      </c>
      <c r="CQ43">
        <f t="shared" si="42"/>
        <v>2672.26</v>
      </c>
      <c r="CR43">
        <f t="shared" si="43"/>
        <v>0</v>
      </c>
      <c r="CS43">
        <f t="shared" si="44"/>
        <v>0</v>
      </c>
      <c r="CT43">
        <f t="shared" si="45"/>
        <v>0</v>
      </c>
      <c r="CU43">
        <f t="shared" si="46"/>
        <v>0</v>
      </c>
      <c r="CV43">
        <f t="shared" si="47"/>
        <v>0</v>
      </c>
      <c r="CW43">
        <f t="shared" si="48"/>
        <v>0</v>
      </c>
      <c r="CX43">
        <f t="shared" si="49"/>
        <v>0</v>
      </c>
      <c r="CY43">
        <f>S43*(BZ43/100)</f>
        <v>0</v>
      </c>
      <c r="CZ43">
        <f>S43*(CA43/100)</f>
        <v>0</v>
      </c>
      <c r="DC43" t="s">
        <v>3</v>
      </c>
      <c r="DD43" t="s">
        <v>3</v>
      </c>
      <c r="DE43" t="s">
        <v>3</v>
      </c>
      <c r="DF43" t="s">
        <v>3</v>
      </c>
      <c r="DG43" t="s">
        <v>3</v>
      </c>
      <c r="DH43" t="s">
        <v>3</v>
      </c>
      <c r="DI43" t="s">
        <v>3</v>
      </c>
      <c r="DJ43" t="s">
        <v>3</v>
      </c>
      <c r="DK43" t="s">
        <v>3</v>
      </c>
      <c r="DL43" t="s">
        <v>3</v>
      </c>
      <c r="DM43" t="s">
        <v>3</v>
      </c>
      <c r="DN43">
        <v>134</v>
      </c>
      <c r="DO43">
        <v>83</v>
      </c>
      <c r="DP43">
        <v>1</v>
      </c>
      <c r="DQ43">
        <v>1</v>
      </c>
      <c r="DU43">
        <v>1009</v>
      </c>
      <c r="DV43" t="s">
        <v>44</v>
      </c>
      <c r="DW43" t="s">
        <v>44</v>
      </c>
      <c r="DX43">
        <v>1000</v>
      </c>
      <c r="EE43">
        <v>45706619</v>
      </c>
      <c r="EF43">
        <v>30</v>
      </c>
      <c r="EG43" t="s">
        <v>58</v>
      </c>
      <c r="EH43">
        <v>0</v>
      </c>
      <c r="EI43" t="s">
        <v>3</v>
      </c>
      <c r="EJ43">
        <v>1</v>
      </c>
      <c r="EK43">
        <v>159</v>
      </c>
      <c r="EL43" t="s">
        <v>59</v>
      </c>
      <c r="EM43" t="s">
        <v>60</v>
      </c>
      <c r="EO43" t="s">
        <v>3</v>
      </c>
      <c r="EQ43">
        <v>0</v>
      </c>
      <c r="ER43">
        <v>305.75</v>
      </c>
      <c r="ES43">
        <v>305.75</v>
      </c>
      <c r="ET43">
        <v>0</v>
      </c>
      <c r="EU43">
        <v>0</v>
      </c>
      <c r="EV43">
        <v>0</v>
      </c>
      <c r="EW43">
        <v>0</v>
      </c>
      <c r="EX43">
        <v>0</v>
      </c>
      <c r="FQ43">
        <v>0</v>
      </c>
      <c r="FR43">
        <f t="shared" si="50"/>
        <v>0</v>
      </c>
      <c r="FS43">
        <v>0</v>
      </c>
      <c r="FX43">
        <v>134</v>
      </c>
      <c r="FY43">
        <v>83</v>
      </c>
      <c r="GA43" t="s">
        <v>3</v>
      </c>
      <c r="GD43">
        <v>0</v>
      </c>
      <c r="GF43">
        <v>-2137020924</v>
      </c>
      <c r="GG43">
        <v>2</v>
      </c>
      <c r="GH43">
        <v>1</v>
      </c>
      <c r="GI43">
        <v>2</v>
      </c>
      <c r="GJ43">
        <v>0</v>
      </c>
      <c r="GK43">
        <f>ROUND(R43*(S12)/100,2)</f>
        <v>0</v>
      </c>
      <c r="GL43">
        <f t="shared" si="51"/>
        <v>0</v>
      </c>
      <c r="GM43">
        <f t="shared" si="59"/>
        <v>38127.730000000003</v>
      </c>
      <c r="GN43">
        <f t="shared" si="60"/>
        <v>38127.730000000003</v>
      </c>
      <c r="GO43">
        <f t="shared" si="61"/>
        <v>0</v>
      </c>
      <c r="GP43">
        <f t="shared" si="62"/>
        <v>0</v>
      </c>
      <c r="GR43">
        <v>0</v>
      </c>
      <c r="GS43">
        <v>3</v>
      </c>
      <c r="GT43">
        <v>0</v>
      </c>
      <c r="GU43" t="s">
        <v>3</v>
      </c>
      <c r="GV43">
        <f t="shared" si="52"/>
        <v>0</v>
      </c>
      <c r="GW43">
        <v>1</v>
      </c>
      <c r="GX43">
        <f t="shared" si="53"/>
        <v>0</v>
      </c>
      <c r="HA43">
        <v>0</v>
      </c>
      <c r="HB43">
        <v>0</v>
      </c>
      <c r="HC43">
        <f t="shared" si="54"/>
        <v>0</v>
      </c>
      <c r="HE43" t="s">
        <v>3</v>
      </c>
      <c r="HF43" t="s">
        <v>3</v>
      </c>
      <c r="IK43">
        <v>0</v>
      </c>
    </row>
    <row r="44" spans="1:255" x14ac:dyDescent="0.2">
      <c r="A44" s="2">
        <v>17</v>
      </c>
      <c r="B44" s="2">
        <v>1</v>
      </c>
      <c r="C44" s="2">
        <f>ROW(SmtRes!A30)</f>
        <v>30</v>
      </c>
      <c r="D44" s="2">
        <f>ROW(EtalonRes!A30)</f>
        <v>30</v>
      </c>
      <c r="E44" s="2" t="s">
        <v>65</v>
      </c>
      <c r="F44" s="2" t="s">
        <v>66</v>
      </c>
      <c r="G44" s="2" t="s">
        <v>67</v>
      </c>
      <c r="H44" s="2" t="s">
        <v>56</v>
      </c>
      <c r="I44" s="2">
        <f>ROUND(I28/100,9)</f>
        <v>1.2</v>
      </c>
      <c r="J44" s="2">
        <v>0</v>
      </c>
      <c r="K44" s="2"/>
      <c r="L44" s="2"/>
      <c r="M44" s="2"/>
      <c r="N44" s="2"/>
      <c r="O44" s="2">
        <f t="shared" si="21"/>
        <v>525.84</v>
      </c>
      <c r="P44" s="2">
        <f t="shared" si="22"/>
        <v>252.13</v>
      </c>
      <c r="Q44" s="2">
        <f t="shared" si="23"/>
        <v>144.36000000000001</v>
      </c>
      <c r="R44" s="2">
        <f t="shared" si="24"/>
        <v>12.79</v>
      </c>
      <c r="S44" s="2">
        <f t="shared" si="25"/>
        <v>129.35</v>
      </c>
      <c r="T44" s="2">
        <f t="shared" si="26"/>
        <v>0</v>
      </c>
      <c r="U44" s="2">
        <f t="shared" si="27"/>
        <v>10.752000000000001</v>
      </c>
      <c r="V44" s="2">
        <f t="shared" si="28"/>
        <v>0</v>
      </c>
      <c r="W44" s="2">
        <f t="shared" si="29"/>
        <v>0</v>
      </c>
      <c r="X44" s="2">
        <f t="shared" si="30"/>
        <v>173.33</v>
      </c>
      <c r="Y44" s="2">
        <f t="shared" si="31"/>
        <v>107.36</v>
      </c>
      <c r="Z44" s="2"/>
      <c r="AA44" s="2">
        <v>45748053</v>
      </c>
      <c r="AB44" s="2">
        <f t="shared" si="32"/>
        <v>438.2</v>
      </c>
      <c r="AC44" s="2">
        <f t="shared" si="33"/>
        <v>210.11</v>
      </c>
      <c r="AD44" s="2">
        <f t="shared" si="34"/>
        <v>120.3</v>
      </c>
      <c r="AE44" s="2">
        <f t="shared" si="35"/>
        <v>10.66</v>
      </c>
      <c r="AF44" s="2">
        <f t="shared" si="36"/>
        <v>107.79</v>
      </c>
      <c r="AG44" s="2">
        <f t="shared" si="37"/>
        <v>0</v>
      </c>
      <c r="AH44" s="2">
        <f t="shared" si="38"/>
        <v>8.9600000000000009</v>
      </c>
      <c r="AI44" s="2">
        <f t="shared" si="39"/>
        <v>0</v>
      </c>
      <c r="AJ44" s="2">
        <f t="shared" si="40"/>
        <v>0</v>
      </c>
      <c r="AK44" s="2">
        <v>438.2</v>
      </c>
      <c r="AL44" s="2">
        <v>210.11</v>
      </c>
      <c r="AM44" s="2">
        <v>120.3</v>
      </c>
      <c r="AN44" s="2">
        <v>10.66</v>
      </c>
      <c r="AO44" s="2">
        <v>107.79</v>
      </c>
      <c r="AP44" s="2">
        <v>0</v>
      </c>
      <c r="AQ44" s="2">
        <v>8.9600000000000009</v>
      </c>
      <c r="AR44" s="2">
        <v>0</v>
      </c>
      <c r="AS44" s="2">
        <v>0</v>
      </c>
      <c r="AT44" s="2">
        <v>134</v>
      </c>
      <c r="AU44" s="2">
        <v>83</v>
      </c>
      <c r="AV44" s="2">
        <v>1</v>
      </c>
      <c r="AW44" s="2">
        <v>1</v>
      </c>
      <c r="AX44" s="2"/>
      <c r="AY44" s="2"/>
      <c r="AZ44" s="2">
        <v>1</v>
      </c>
      <c r="BA44" s="2">
        <v>1</v>
      </c>
      <c r="BB44" s="2">
        <v>1</v>
      </c>
      <c r="BC44" s="2">
        <v>1</v>
      </c>
      <c r="BD44" s="2" t="s">
        <v>3</v>
      </c>
      <c r="BE44" s="2" t="s">
        <v>3</v>
      </c>
      <c r="BF44" s="2" t="s">
        <v>3</v>
      </c>
      <c r="BG44" s="2" t="s">
        <v>3</v>
      </c>
      <c r="BH44" s="2">
        <v>0</v>
      </c>
      <c r="BI44" s="2">
        <v>1</v>
      </c>
      <c r="BJ44" s="2" t="s">
        <v>68</v>
      </c>
      <c r="BK44" s="2"/>
      <c r="BL44" s="2"/>
      <c r="BM44" s="2">
        <v>159</v>
      </c>
      <c r="BN44" s="2">
        <v>0</v>
      </c>
      <c r="BO44" s="2" t="s">
        <v>3</v>
      </c>
      <c r="BP44" s="2">
        <v>0</v>
      </c>
      <c r="BQ44" s="2">
        <v>30</v>
      </c>
      <c r="BR44" s="2">
        <v>0</v>
      </c>
      <c r="BS44" s="2">
        <v>1</v>
      </c>
      <c r="BT44" s="2">
        <v>1</v>
      </c>
      <c r="BU44" s="2">
        <v>1</v>
      </c>
      <c r="BV44" s="2">
        <v>1</v>
      </c>
      <c r="BW44" s="2">
        <v>1</v>
      </c>
      <c r="BX44" s="2">
        <v>1</v>
      </c>
      <c r="BY44" s="2" t="s">
        <v>3</v>
      </c>
      <c r="BZ44" s="2">
        <v>134</v>
      </c>
      <c r="CA44" s="2">
        <v>83</v>
      </c>
      <c r="CB44" s="2"/>
      <c r="CC44" s="2"/>
      <c r="CD44" s="2"/>
      <c r="CE44" s="2">
        <v>30</v>
      </c>
      <c r="CF44" s="2">
        <v>0</v>
      </c>
      <c r="CG44" s="2">
        <v>0</v>
      </c>
      <c r="CH44" s="2"/>
      <c r="CI44" s="2"/>
      <c r="CJ44" s="2"/>
      <c r="CK44" s="2"/>
      <c r="CL44" s="2"/>
      <c r="CM44" s="2">
        <v>0</v>
      </c>
      <c r="CN44" s="2" t="s">
        <v>3</v>
      </c>
      <c r="CO44" s="2">
        <v>0</v>
      </c>
      <c r="CP44" s="2">
        <f t="shared" si="41"/>
        <v>525.84</v>
      </c>
      <c r="CQ44" s="2">
        <f t="shared" si="42"/>
        <v>210.11</v>
      </c>
      <c r="CR44" s="2">
        <f t="shared" si="43"/>
        <v>120.3</v>
      </c>
      <c r="CS44" s="2">
        <f t="shared" si="44"/>
        <v>10.66</v>
      </c>
      <c r="CT44" s="2">
        <f t="shared" si="45"/>
        <v>107.79</v>
      </c>
      <c r="CU44" s="2">
        <f t="shared" si="46"/>
        <v>0</v>
      </c>
      <c r="CV44" s="2">
        <f t="shared" si="47"/>
        <v>8.9600000000000009</v>
      </c>
      <c r="CW44" s="2">
        <f t="shared" si="48"/>
        <v>0</v>
      </c>
      <c r="CX44" s="2">
        <f t="shared" si="49"/>
        <v>0</v>
      </c>
      <c r="CY44" s="2">
        <f>((S44*BZ44)/100)</f>
        <v>173.32899999999998</v>
      </c>
      <c r="CZ44" s="2">
        <f>((S44*CA44)/100)</f>
        <v>107.36049999999999</v>
      </c>
      <c r="DA44" s="2"/>
      <c r="DB44" s="2"/>
      <c r="DC44" s="2" t="s">
        <v>3</v>
      </c>
      <c r="DD44" s="2" t="s">
        <v>3</v>
      </c>
      <c r="DE44" s="2" t="s">
        <v>3</v>
      </c>
      <c r="DF44" s="2" t="s">
        <v>3</v>
      </c>
      <c r="DG44" s="2" t="s">
        <v>3</v>
      </c>
      <c r="DH44" s="2" t="s">
        <v>3</v>
      </c>
      <c r="DI44" s="2" t="s">
        <v>3</v>
      </c>
      <c r="DJ44" s="2" t="s">
        <v>3</v>
      </c>
      <c r="DK44" s="2" t="s">
        <v>3</v>
      </c>
      <c r="DL44" s="2" t="s">
        <v>3</v>
      </c>
      <c r="DM44" s="2" t="s">
        <v>3</v>
      </c>
      <c r="DN44" s="2">
        <v>0</v>
      </c>
      <c r="DO44" s="2">
        <v>0</v>
      </c>
      <c r="DP44" s="2">
        <v>1</v>
      </c>
      <c r="DQ44" s="2">
        <v>1</v>
      </c>
      <c r="DR44" s="2"/>
      <c r="DS44" s="2"/>
      <c r="DT44" s="2"/>
      <c r="DU44" s="2">
        <v>1013</v>
      </c>
      <c r="DV44" s="2" t="s">
        <v>56</v>
      </c>
      <c r="DW44" s="2" t="s">
        <v>56</v>
      </c>
      <c r="DX44" s="2">
        <v>1</v>
      </c>
      <c r="DY44" s="2"/>
      <c r="DZ44" s="2"/>
      <c r="EA44" s="2"/>
      <c r="EB44" s="2"/>
      <c r="EC44" s="2"/>
      <c r="ED44" s="2"/>
      <c r="EE44" s="2">
        <v>45706619</v>
      </c>
      <c r="EF44" s="2">
        <v>30</v>
      </c>
      <c r="EG44" s="2" t="s">
        <v>58</v>
      </c>
      <c r="EH44" s="2">
        <v>0</v>
      </c>
      <c r="EI44" s="2" t="s">
        <v>3</v>
      </c>
      <c r="EJ44" s="2">
        <v>1</v>
      </c>
      <c r="EK44" s="2">
        <v>159</v>
      </c>
      <c r="EL44" s="2" t="s">
        <v>59</v>
      </c>
      <c r="EM44" s="2" t="s">
        <v>60</v>
      </c>
      <c r="EN44" s="2"/>
      <c r="EO44" s="2" t="s">
        <v>3</v>
      </c>
      <c r="EP44" s="2"/>
      <c r="EQ44" s="2">
        <v>0</v>
      </c>
      <c r="ER44" s="2">
        <v>438.2</v>
      </c>
      <c r="ES44" s="2">
        <v>210.11</v>
      </c>
      <c r="ET44" s="2">
        <v>120.3</v>
      </c>
      <c r="EU44" s="2">
        <v>10.66</v>
      </c>
      <c r="EV44" s="2">
        <v>107.79</v>
      </c>
      <c r="EW44" s="2">
        <v>8.9600000000000009</v>
      </c>
      <c r="EX44" s="2">
        <v>0</v>
      </c>
      <c r="EY44" s="2">
        <v>0</v>
      </c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>
        <v>0</v>
      </c>
      <c r="FR44" s="2">
        <f t="shared" si="50"/>
        <v>0</v>
      </c>
      <c r="FS44" s="2">
        <v>0</v>
      </c>
      <c r="FT44" s="2"/>
      <c r="FU44" s="2"/>
      <c r="FV44" s="2"/>
      <c r="FW44" s="2"/>
      <c r="FX44" s="2">
        <v>134</v>
      </c>
      <c r="FY44" s="2">
        <v>83</v>
      </c>
      <c r="FZ44" s="2"/>
      <c r="GA44" s="2" t="s">
        <v>3</v>
      </c>
      <c r="GB44" s="2"/>
      <c r="GC44" s="2"/>
      <c r="GD44" s="2">
        <v>0</v>
      </c>
      <c r="GE44" s="2"/>
      <c r="GF44" s="2">
        <v>2005395214</v>
      </c>
      <c r="GG44" s="2">
        <v>2</v>
      </c>
      <c r="GH44" s="2">
        <v>1</v>
      </c>
      <c r="GI44" s="2">
        <v>-2</v>
      </c>
      <c r="GJ44" s="2">
        <v>0</v>
      </c>
      <c r="GK44" s="2">
        <f>ROUND(R44*(R12)/100,2)</f>
        <v>22.38</v>
      </c>
      <c r="GL44" s="2">
        <f t="shared" si="51"/>
        <v>0</v>
      </c>
      <c r="GM44" s="2">
        <f t="shared" si="59"/>
        <v>828.91</v>
      </c>
      <c r="GN44" s="2">
        <f t="shared" si="60"/>
        <v>828.91</v>
      </c>
      <c r="GO44" s="2">
        <f t="shared" si="61"/>
        <v>0</v>
      </c>
      <c r="GP44" s="2">
        <f t="shared" si="62"/>
        <v>0</v>
      </c>
      <c r="GQ44" s="2"/>
      <c r="GR44" s="2">
        <v>0</v>
      </c>
      <c r="GS44" s="2">
        <v>3</v>
      </c>
      <c r="GT44" s="2">
        <v>0</v>
      </c>
      <c r="GU44" s="2" t="s">
        <v>3</v>
      </c>
      <c r="GV44" s="2">
        <f t="shared" si="52"/>
        <v>0</v>
      </c>
      <c r="GW44" s="2">
        <v>1</v>
      </c>
      <c r="GX44" s="2">
        <f t="shared" si="53"/>
        <v>0</v>
      </c>
      <c r="GY44" s="2"/>
      <c r="GZ44" s="2"/>
      <c r="HA44" s="2">
        <v>0</v>
      </c>
      <c r="HB44" s="2">
        <v>0</v>
      </c>
      <c r="HC44" s="2">
        <f t="shared" si="54"/>
        <v>0</v>
      </c>
      <c r="HD44" s="2"/>
      <c r="HE44" s="2" t="s">
        <v>3</v>
      </c>
      <c r="HF44" s="2" t="s">
        <v>3</v>
      </c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>
        <v>0</v>
      </c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55" x14ac:dyDescent="0.2">
      <c r="A45">
        <v>17</v>
      </c>
      <c r="B45">
        <v>1</v>
      </c>
      <c r="C45">
        <f>ROW(SmtRes!A34)</f>
        <v>34</v>
      </c>
      <c r="D45">
        <f>ROW(EtalonRes!A34)</f>
        <v>34</v>
      </c>
      <c r="E45" t="s">
        <v>65</v>
      </c>
      <c r="F45" t="s">
        <v>66</v>
      </c>
      <c r="G45" t="s">
        <v>67</v>
      </c>
      <c r="H45" t="s">
        <v>56</v>
      </c>
      <c r="I45">
        <f>ROUND(I29/100,9)</f>
        <v>1.2</v>
      </c>
      <c r="J45">
        <v>0</v>
      </c>
      <c r="O45">
        <f t="shared" si="21"/>
        <v>6157.14</v>
      </c>
      <c r="P45">
        <f t="shared" si="22"/>
        <v>1696.83</v>
      </c>
      <c r="Q45">
        <f t="shared" si="23"/>
        <v>1209.74</v>
      </c>
      <c r="R45">
        <f t="shared" si="24"/>
        <v>321.41000000000003</v>
      </c>
      <c r="S45">
        <f t="shared" si="25"/>
        <v>3250.57</v>
      </c>
      <c r="T45">
        <f t="shared" si="26"/>
        <v>0</v>
      </c>
      <c r="U45">
        <f t="shared" si="27"/>
        <v>10.752000000000001</v>
      </c>
      <c r="V45">
        <f t="shared" si="28"/>
        <v>0</v>
      </c>
      <c r="W45">
        <f t="shared" si="29"/>
        <v>0</v>
      </c>
      <c r="X45">
        <f t="shared" si="30"/>
        <v>3445.6</v>
      </c>
      <c r="Y45">
        <f t="shared" si="31"/>
        <v>1332.73</v>
      </c>
      <c r="AA45">
        <v>45747932</v>
      </c>
      <c r="AB45">
        <f t="shared" si="32"/>
        <v>438.2</v>
      </c>
      <c r="AC45">
        <f t="shared" si="33"/>
        <v>210.11</v>
      </c>
      <c r="AD45">
        <f t="shared" si="34"/>
        <v>120.3</v>
      </c>
      <c r="AE45">
        <f t="shared" si="35"/>
        <v>10.66</v>
      </c>
      <c r="AF45">
        <f t="shared" si="36"/>
        <v>107.79</v>
      </c>
      <c r="AG45">
        <f t="shared" si="37"/>
        <v>0</v>
      </c>
      <c r="AH45">
        <f t="shared" si="38"/>
        <v>8.9600000000000009</v>
      </c>
      <c r="AI45">
        <f t="shared" si="39"/>
        <v>0</v>
      </c>
      <c r="AJ45">
        <f t="shared" si="40"/>
        <v>0</v>
      </c>
      <c r="AK45">
        <v>438.2</v>
      </c>
      <c r="AL45">
        <v>210.11</v>
      </c>
      <c r="AM45">
        <v>120.3</v>
      </c>
      <c r="AN45">
        <v>10.66</v>
      </c>
      <c r="AO45">
        <v>107.79</v>
      </c>
      <c r="AP45">
        <v>0</v>
      </c>
      <c r="AQ45">
        <v>8.9600000000000009</v>
      </c>
      <c r="AR45">
        <v>0</v>
      </c>
      <c r="AS45">
        <v>0</v>
      </c>
      <c r="AT45">
        <v>106</v>
      </c>
      <c r="AU45">
        <v>41</v>
      </c>
      <c r="AV45">
        <v>1</v>
      </c>
      <c r="AW45">
        <v>1</v>
      </c>
      <c r="AZ45">
        <v>1</v>
      </c>
      <c r="BA45">
        <v>25.13</v>
      </c>
      <c r="BB45">
        <v>8.3800000000000008</v>
      </c>
      <c r="BC45">
        <v>6.73</v>
      </c>
      <c r="BD45" t="s">
        <v>3</v>
      </c>
      <c r="BE45" t="s">
        <v>3</v>
      </c>
      <c r="BF45" t="s">
        <v>3</v>
      </c>
      <c r="BG45" t="s">
        <v>3</v>
      </c>
      <c r="BH45">
        <v>0</v>
      </c>
      <c r="BI45">
        <v>1</v>
      </c>
      <c r="BJ45" t="s">
        <v>68</v>
      </c>
      <c r="BM45">
        <v>159</v>
      </c>
      <c r="BN45">
        <v>0</v>
      </c>
      <c r="BO45" t="s">
        <v>66</v>
      </c>
      <c r="BP45">
        <v>1</v>
      </c>
      <c r="BQ45">
        <v>30</v>
      </c>
      <c r="BR45">
        <v>0</v>
      </c>
      <c r="BS45">
        <v>25.13</v>
      </c>
      <c r="BT45">
        <v>1</v>
      </c>
      <c r="BU45">
        <v>1</v>
      </c>
      <c r="BV45">
        <v>1</v>
      </c>
      <c r="BW45">
        <v>1</v>
      </c>
      <c r="BX45">
        <v>1</v>
      </c>
      <c r="BY45" t="s">
        <v>3</v>
      </c>
      <c r="BZ45">
        <v>106</v>
      </c>
      <c r="CA45">
        <v>41</v>
      </c>
      <c r="CE45">
        <v>30</v>
      </c>
      <c r="CF45">
        <v>0</v>
      </c>
      <c r="CG45">
        <v>0</v>
      </c>
      <c r="CM45">
        <v>0</v>
      </c>
      <c r="CN45" t="s">
        <v>3</v>
      </c>
      <c r="CO45">
        <v>0</v>
      </c>
      <c r="CP45">
        <f t="shared" si="41"/>
        <v>6157.1399999999994</v>
      </c>
      <c r="CQ45">
        <f t="shared" si="42"/>
        <v>1414.04</v>
      </c>
      <c r="CR45">
        <f t="shared" si="43"/>
        <v>1008.11</v>
      </c>
      <c r="CS45">
        <f t="shared" si="44"/>
        <v>267.89</v>
      </c>
      <c r="CT45">
        <f t="shared" si="45"/>
        <v>2708.76</v>
      </c>
      <c r="CU45">
        <f t="shared" si="46"/>
        <v>0</v>
      </c>
      <c r="CV45">
        <f t="shared" si="47"/>
        <v>8.9600000000000009</v>
      </c>
      <c r="CW45">
        <f t="shared" si="48"/>
        <v>0</v>
      </c>
      <c r="CX45">
        <f t="shared" si="49"/>
        <v>0</v>
      </c>
      <c r="CY45">
        <f>S45*(BZ45/100)</f>
        <v>3445.6042000000002</v>
      </c>
      <c r="CZ45">
        <f>S45*(CA45/100)</f>
        <v>1332.7337</v>
      </c>
      <c r="DC45" t="s">
        <v>3</v>
      </c>
      <c r="DD45" t="s">
        <v>3</v>
      </c>
      <c r="DE45" t="s">
        <v>3</v>
      </c>
      <c r="DF45" t="s">
        <v>3</v>
      </c>
      <c r="DG45" t="s">
        <v>3</v>
      </c>
      <c r="DH45" t="s">
        <v>3</v>
      </c>
      <c r="DI45" t="s">
        <v>3</v>
      </c>
      <c r="DJ45" t="s">
        <v>3</v>
      </c>
      <c r="DK45" t="s">
        <v>3</v>
      </c>
      <c r="DL45" t="s">
        <v>3</v>
      </c>
      <c r="DM45" t="s">
        <v>3</v>
      </c>
      <c r="DN45">
        <v>134</v>
      </c>
      <c r="DO45">
        <v>83</v>
      </c>
      <c r="DP45">
        <v>1</v>
      </c>
      <c r="DQ45">
        <v>1</v>
      </c>
      <c r="DU45">
        <v>1013</v>
      </c>
      <c r="DV45" t="s">
        <v>56</v>
      </c>
      <c r="DW45" t="s">
        <v>56</v>
      </c>
      <c r="DX45">
        <v>1</v>
      </c>
      <c r="EE45">
        <v>45706619</v>
      </c>
      <c r="EF45">
        <v>30</v>
      </c>
      <c r="EG45" t="s">
        <v>58</v>
      </c>
      <c r="EH45">
        <v>0</v>
      </c>
      <c r="EI45" t="s">
        <v>3</v>
      </c>
      <c r="EJ45">
        <v>1</v>
      </c>
      <c r="EK45">
        <v>159</v>
      </c>
      <c r="EL45" t="s">
        <v>59</v>
      </c>
      <c r="EM45" t="s">
        <v>60</v>
      </c>
      <c r="EO45" t="s">
        <v>3</v>
      </c>
      <c r="EQ45">
        <v>0</v>
      </c>
      <c r="ER45">
        <v>438.2</v>
      </c>
      <c r="ES45">
        <v>210.11</v>
      </c>
      <c r="ET45">
        <v>120.3</v>
      </c>
      <c r="EU45">
        <v>10.66</v>
      </c>
      <c r="EV45">
        <v>107.79</v>
      </c>
      <c r="EW45">
        <v>8.9600000000000009</v>
      </c>
      <c r="EX45">
        <v>0</v>
      </c>
      <c r="EY45">
        <v>0</v>
      </c>
      <c r="FQ45">
        <v>0</v>
      </c>
      <c r="FR45">
        <f t="shared" si="50"/>
        <v>0</v>
      </c>
      <c r="FS45">
        <v>0</v>
      </c>
      <c r="FX45">
        <v>134</v>
      </c>
      <c r="FY45">
        <v>83</v>
      </c>
      <c r="GA45" t="s">
        <v>3</v>
      </c>
      <c r="GD45">
        <v>0</v>
      </c>
      <c r="GF45">
        <v>2005395214</v>
      </c>
      <c r="GG45">
        <v>2</v>
      </c>
      <c r="GH45">
        <v>1</v>
      </c>
      <c r="GI45">
        <v>2</v>
      </c>
      <c r="GJ45">
        <v>0</v>
      </c>
      <c r="GK45">
        <f>ROUND(R45*(S12)/100,2)</f>
        <v>504.61</v>
      </c>
      <c r="GL45">
        <f t="shared" si="51"/>
        <v>0</v>
      </c>
      <c r="GM45">
        <f t="shared" si="59"/>
        <v>11440.08</v>
      </c>
      <c r="GN45">
        <f t="shared" si="60"/>
        <v>11440.08</v>
      </c>
      <c r="GO45">
        <f t="shared" si="61"/>
        <v>0</v>
      </c>
      <c r="GP45">
        <f t="shared" si="62"/>
        <v>0</v>
      </c>
      <c r="GR45">
        <v>0</v>
      </c>
      <c r="GS45">
        <v>3</v>
      </c>
      <c r="GT45">
        <v>0</v>
      </c>
      <c r="GU45" t="s">
        <v>3</v>
      </c>
      <c r="GV45">
        <f t="shared" si="52"/>
        <v>0</v>
      </c>
      <c r="GW45">
        <v>1</v>
      </c>
      <c r="GX45">
        <f t="shared" si="53"/>
        <v>0</v>
      </c>
      <c r="HA45">
        <v>0</v>
      </c>
      <c r="HB45">
        <v>0</v>
      </c>
      <c r="HC45">
        <f t="shared" si="54"/>
        <v>0</v>
      </c>
      <c r="HE45" t="s">
        <v>3</v>
      </c>
      <c r="HF45" t="s">
        <v>3</v>
      </c>
      <c r="IK45">
        <v>0</v>
      </c>
    </row>
    <row r="46" spans="1:255" x14ac:dyDescent="0.2">
      <c r="A46" s="2">
        <v>18</v>
      </c>
      <c r="B46" s="2">
        <v>1</v>
      </c>
      <c r="C46" s="2">
        <v>30</v>
      </c>
      <c r="D46" s="2"/>
      <c r="E46" s="2" t="s">
        <v>69</v>
      </c>
      <c r="F46" s="2" t="s">
        <v>70</v>
      </c>
      <c r="G46" s="2" t="s">
        <v>71</v>
      </c>
      <c r="H46" s="2" t="s">
        <v>44</v>
      </c>
      <c r="I46" s="2">
        <f>I44*J46</f>
        <v>14.28</v>
      </c>
      <c r="J46" s="2">
        <v>11.9</v>
      </c>
      <c r="K46" s="2"/>
      <c r="L46" s="2"/>
      <c r="M46" s="2"/>
      <c r="N46" s="2"/>
      <c r="O46" s="2">
        <f t="shared" si="21"/>
        <v>4305.71</v>
      </c>
      <c r="P46" s="2">
        <f t="shared" si="22"/>
        <v>4305.71</v>
      </c>
      <c r="Q46" s="2">
        <f t="shared" si="23"/>
        <v>0</v>
      </c>
      <c r="R46" s="2">
        <f t="shared" si="24"/>
        <v>0</v>
      </c>
      <c r="S46" s="2">
        <f t="shared" si="25"/>
        <v>0</v>
      </c>
      <c r="T46" s="2">
        <f t="shared" si="26"/>
        <v>0</v>
      </c>
      <c r="U46" s="2">
        <f t="shared" si="27"/>
        <v>0</v>
      </c>
      <c r="V46" s="2">
        <f t="shared" si="28"/>
        <v>0</v>
      </c>
      <c r="W46" s="2">
        <f t="shared" si="29"/>
        <v>0</v>
      </c>
      <c r="X46" s="2">
        <f t="shared" si="30"/>
        <v>0</v>
      </c>
      <c r="Y46" s="2">
        <f t="shared" si="31"/>
        <v>0</v>
      </c>
      <c r="Z46" s="2"/>
      <c r="AA46" s="2">
        <v>45748053</v>
      </c>
      <c r="AB46" s="2">
        <f t="shared" si="32"/>
        <v>301.52</v>
      </c>
      <c r="AC46" s="2">
        <f t="shared" si="33"/>
        <v>301.52</v>
      </c>
      <c r="AD46" s="2">
        <f t="shared" si="34"/>
        <v>0</v>
      </c>
      <c r="AE46" s="2">
        <f t="shared" si="35"/>
        <v>0</v>
      </c>
      <c r="AF46" s="2">
        <f t="shared" si="36"/>
        <v>0</v>
      </c>
      <c r="AG46" s="2">
        <f t="shared" si="37"/>
        <v>0</v>
      </c>
      <c r="AH46" s="2">
        <f t="shared" si="38"/>
        <v>0</v>
      </c>
      <c r="AI46" s="2">
        <f t="shared" si="39"/>
        <v>0</v>
      </c>
      <c r="AJ46" s="2">
        <f t="shared" si="40"/>
        <v>0</v>
      </c>
      <c r="AK46" s="2">
        <v>301.52</v>
      </c>
      <c r="AL46" s="2">
        <v>301.52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134</v>
      </c>
      <c r="AU46" s="2">
        <v>83</v>
      </c>
      <c r="AV46" s="2">
        <v>1</v>
      </c>
      <c r="AW46" s="2">
        <v>1</v>
      </c>
      <c r="AX46" s="2"/>
      <c r="AY46" s="2"/>
      <c r="AZ46" s="2">
        <v>1</v>
      </c>
      <c r="BA46" s="2">
        <v>1</v>
      </c>
      <c r="BB46" s="2">
        <v>1</v>
      </c>
      <c r="BC46" s="2">
        <v>1</v>
      </c>
      <c r="BD46" s="2" t="s">
        <v>3</v>
      </c>
      <c r="BE46" s="2" t="s">
        <v>3</v>
      </c>
      <c r="BF46" s="2" t="s">
        <v>3</v>
      </c>
      <c r="BG46" s="2" t="s">
        <v>3</v>
      </c>
      <c r="BH46" s="2">
        <v>3</v>
      </c>
      <c r="BI46" s="2">
        <v>1</v>
      </c>
      <c r="BJ46" s="2" t="s">
        <v>72</v>
      </c>
      <c r="BK46" s="2"/>
      <c r="BL46" s="2"/>
      <c r="BM46" s="2">
        <v>159</v>
      </c>
      <c r="BN46" s="2">
        <v>0</v>
      </c>
      <c r="BO46" s="2" t="s">
        <v>3</v>
      </c>
      <c r="BP46" s="2">
        <v>0</v>
      </c>
      <c r="BQ46" s="2">
        <v>30</v>
      </c>
      <c r="BR46" s="2">
        <v>0</v>
      </c>
      <c r="BS46" s="2">
        <v>1</v>
      </c>
      <c r="BT46" s="2">
        <v>1</v>
      </c>
      <c r="BU46" s="2">
        <v>1</v>
      </c>
      <c r="BV46" s="2">
        <v>1</v>
      </c>
      <c r="BW46" s="2">
        <v>1</v>
      </c>
      <c r="BX46" s="2">
        <v>1</v>
      </c>
      <c r="BY46" s="2" t="s">
        <v>3</v>
      </c>
      <c r="BZ46" s="2">
        <v>134</v>
      </c>
      <c r="CA46" s="2">
        <v>83</v>
      </c>
      <c r="CB46" s="2"/>
      <c r="CC46" s="2"/>
      <c r="CD46" s="2"/>
      <c r="CE46" s="2">
        <v>30</v>
      </c>
      <c r="CF46" s="2">
        <v>0</v>
      </c>
      <c r="CG46" s="2">
        <v>0</v>
      </c>
      <c r="CH46" s="2"/>
      <c r="CI46" s="2"/>
      <c r="CJ46" s="2"/>
      <c r="CK46" s="2"/>
      <c r="CL46" s="2"/>
      <c r="CM46" s="2">
        <v>0</v>
      </c>
      <c r="CN46" s="2" t="s">
        <v>3</v>
      </c>
      <c r="CO46" s="2">
        <v>0</v>
      </c>
      <c r="CP46" s="2">
        <f t="shared" si="41"/>
        <v>4305.71</v>
      </c>
      <c r="CQ46" s="2">
        <f t="shared" si="42"/>
        <v>301.52</v>
      </c>
      <c r="CR46" s="2">
        <f t="shared" si="43"/>
        <v>0</v>
      </c>
      <c r="CS46" s="2">
        <f t="shared" si="44"/>
        <v>0</v>
      </c>
      <c r="CT46" s="2">
        <f t="shared" si="45"/>
        <v>0</v>
      </c>
      <c r="CU46" s="2">
        <f t="shared" si="46"/>
        <v>0</v>
      </c>
      <c r="CV46" s="2">
        <f t="shared" si="47"/>
        <v>0</v>
      </c>
      <c r="CW46" s="2">
        <f t="shared" si="48"/>
        <v>0</v>
      </c>
      <c r="CX46" s="2">
        <f t="shared" si="49"/>
        <v>0</v>
      </c>
      <c r="CY46" s="2">
        <f>((S46*BZ46)/100)</f>
        <v>0</v>
      </c>
      <c r="CZ46" s="2">
        <f>((S46*CA46)/100)</f>
        <v>0</v>
      </c>
      <c r="DA46" s="2"/>
      <c r="DB46" s="2"/>
      <c r="DC46" s="2" t="s">
        <v>3</v>
      </c>
      <c r="DD46" s="2" t="s">
        <v>3</v>
      </c>
      <c r="DE46" s="2" t="s">
        <v>3</v>
      </c>
      <c r="DF46" s="2" t="s">
        <v>3</v>
      </c>
      <c r="DG46" s="2" t="s">
        <v>3</v>
      </c>
      <c r="DH46" s="2" t="s">
        <v>3</v>
      </c>
      <c r="DI46" s="2" t="s">
        <v>3</v>
      </c>
      <c r="DJ46" s="2" t="s">
        <v>3</v>
      </c>
      <c r="DK46" s="2" t="s">
        <v>3</v>
      </c>
      <c r="DL46" s="2" t="s">
        <v>3</v>
      </c>
      <c r="DM46" s="2" t="s">
        <v>3</v>
      </c>
      <c r="DN46" s="2">
        <v>0</v>
      </c>
      <c r="DO46" s="2">
        <v>0</v>
      </c>
      <c r="DP46" s="2">
        <v>1</v>
      </c>
      <c r="DQ46" s="2">
        <v>1</v>
      </c>
      <c r="DR46" s="2"/>
      <c r="DS46" s="2"/>
      <c r="DT46" s="2"/>
      <c r="DU46" s="2">
        <v>1009</v>
      </c>
      <c r="DV46" s="2" t="s">
        <v>44</v>
      </c>
      <c r="DW46" s="2" t="s">
        <v>44</v>
      </c>
      <c r="DX46" s="2">
        <v>1000</v>
      </c>
      <c r="DY46" s="2"/>
      <c r="DZ46" s="2"/>
      <c r="EA46" s="2"/>
      <c r="EB46" s="2"/>
      <c r="EC46" s="2"/>
      <c r="ED46" s="2"/>
      <c r="EE46" s="2">
        <v>45706619</v>
      </c>
      <c r="EF46" s="2">
        <v>30</v>
      </c>
      <c r="EG46" s="2" t="s">
        <v>58</v>
      </c>
      <c r="EH46" s="2">
        <v>0</v>
      </c>
      <c r="EI46" s="2" t="s">
        <v>3</v>
      </c>
      <c r="EJ46" s="2">
        <v>1</v>
      </c>
      <c r="EK46" s="2">
        <v>159</v>
      </c>
      <c r="EL46" s="2" t="s">
        <v>59</v>
      </c>
      <c r="EM46" s="2" t="s">
        <v>60</v>
      </c>
      <c r="EN46" s="2"/>
      <c r="EO46" s="2" t="s">
        <v>3</v>
      </c>
      <c r="EP46" s="2"/>
      <c r="EQ46" s="2">
        <v>0</v>
      </c>
      <c r="ER46" s="2">
        <v>301.52</v>
      </c>
      <c r="ES46" s="2">
        <v>301.52</v>
      </c>
      <c r="ET46" s="2">
        <v>0</v>
      </c>
      <c r="EU46" s="2">
        <v>0</v>
      </c>
      <c r="EV46" s="2">
        <v>0</v>
      </c>
      <c r="EW46" s="2">
        <v>0</v>
      </c>
      <c r="EX46" s="2">
        <v>0</v>
      </c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>
        <v>0</v>
      </c>
      <c r="FR46" s="2">
        <f t="shared" si="50"/>
        <v>0</v>
      </c>
      <c r="FS46" s="2">
        <v>0</v>
      </c>
      <c r="FT46" s="2"/>
      <c r="FU46" s="2"/>
      <c r="FV46" s="2"/>
      <c r="FW46" s="2"/>
      <c r="FX46" s="2">
        <v>134</v>
      </c>
      <c r="FY46" s="2">
        <v>83</v>
      </c>
      <c r="FZ46" s="2"/>
      <c r="GA46" s="2" t="s">
        <v>3</v>
      </c>
      <c r="GB46" s="2"/>
      <c r="GC46" s="2"/>
      <c r="GD46" s="2">
        <v>0</v>
      </c>
      <c r="GE46" s="2"/>
      <c r="GF46" s="2">
        <v>981832165</v>
      </c>
      <c r="GG46" s="2">
        <v>2</v>
      </c>
      <c r="GH46" s="2">
        <v>1</v>
      </c>
      <c r="GI46" s="2">
        <v>-2</v>
      </c>
      <c r="GJ46" s="2">
        <v>0</v>
      </c>
      <c r="GK46" s="2">
        <f>ROUND(R46*(R12)/100,2)</f>
        <v>0</v>
      </c>
      <c r="GL46" s="2">
        <f t="shared" si="51"/>
        <v>0</v>
      </c>
      <c r="GM46" s="2">
        <f t="shared" si="59"/>
        <v>4305.71</v>
      </c>
      <c r="GN46" s="2">
        <f t="shared" si="60"/>
        <v>4305.71</v>
      </c>
      <c r="GO46" s="2">
        <f t="shared" si="61"/>
        <v>0</v>
      </c>
      <c r="GP46" s="2">
        <f t="shared" si="62"/>
        <v>0</v>
      </c>
      <c r="GQ46" s="2"/>
      <c r="GR46" s="2">
        <v>0</v>
      </c>
      <c r="GS46" s="2">
        <v>3</v>
      </c>
      <c r="GT46" s="2">
        <v>0</v>
      </c>
      <c r="GU46" s="2" t="s">
        <v>3</v>
      </c>
      <c r="GV46" s="2">
        <f t="shared" si="52"/>
        <v>0</v>
      </c>
      <c r="GW46" s="2">
        <v>1</v>
      </c>
      <c r="GX46" s="2">
        <f t="shared" si="53"/>
        <v>0</v>
      </c>
      <c r="GY46" s="2"/>
      <c r="GZ46" s="2"/>
      <c r="HA46" s="2">
        <v>0</v>
      </c>
      <c r="HB46" s="2">
        <v>0</v>
      </c>
      <c r="HC46" s="2">
        <f t="shared" si="54"/>
        <v>0</v>
      </c>
      <c r="HD46" s="2"/>
      <c r="HE46" s="2" t="s">
        <v>3</v>
      </c>
      <c r="HF46" s="2" t="s">
        <v>3</v>
      </c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>
        <v>0</v>
      </c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55" x14ac:dyDescent="0.2">
      <c r="A47">
        <v>18</v>
      </c>
      <c r="B47">
        <v>1</v>
      </c>
      <c r="C47">
        <v>34</v>
      </c>
      <c r="E47" t="s">
        <v>69</v>
      </c>
      <c r="F47" t="s">
        <v>70</v>
      </c>
      <c r="G47" t="s">
        <v>71</v>
      </c>
      <c r="H47" t="s">
        <v>44</v>
      </c>
      <c r="I47">
        <f>I45*J47</f>
        <v>14.28</v>
      </c>
      <c r="J47">
        <v>11.9</v>
      </c>
      <c r="O47">
        <f t="shared" si="21"/>
        <v>37502.730000000003</v>
      </c>
      <c r="P47">
        <f t="shared" si="22"/>
        <v>37502.730000000003</v>
      </c>
      <c r="Q47">
        <f t="shared" si="23"/>
        <v>0</v>
      </c>
      <c r="R47">
        <f t="shared" si="24"/>
        <v>0</v>
      </c>
      <c r="S47">
        <f t="shared" si="25"/>
        <v>0</v>
      </c>
      <c r="T47">
        <f t="shared" si="26"/>
        <v>0</v>
      </c>
      <c r="U47">
        <f t="shared" si="27"/>
        <v>0</v>
      </c>
      <c r="V47">
        <f t="shared" si="28"/>
        <v>0</v>
      </c>
      <c r="W47">
        <f t="shared" si="29"/>
        <v>0</v>
      </c>
      <c r="X47">
        <f t="shared" si="30"/>
        <v>0</v>
      </c>
      <c r="Y47">
        <f t="shared" si="31"/>
        <v>0</v>
      </c>
      <c r="AA47">
        <v>45747932</v>
      </c>
      <c r="AB47">
        <f t="shared" si="32"/>
        <v>301.52</v>
      </c>
      <c r="AC47">
        <f t="shared" si="33"/>
        <v>301.52</v>
      </c>
      <c r="AD47">
        <f t="shared" si="34"/>
        <v>0</v>
      </c>
      <c r="AE47">
        <f t="shared" si="35"/>
        <v>0</v>
      </c>
      <c r="AF47">
        <f t="shared" si="36"/>
        <v>0</v>
      </c>
      <c r="AG47">
        <f t="shared" si="37"/>
        <v>0</v>
      </c>
      <c r="AH47">
        <f t="shared" si="38"/>
        <v>0</v>
      </c>
      <c r="AI47">
        <f t="shared" si="39"/>
        <v>0</v>
      </c>
      <c r="AJ47">
        <f t="shared" si="40"/>
        <v>0</v>
      </c>
      <c r="AK47">
        <v>301.52</v>
      </c>
      <c r="AL47">
        <v>301.52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1</v>
      </c>
      <c r="AW47">
        <v>1</v>
      </c>
      <c r="AZ47">
        <v>1</v>
      </c>
      <c r="BA47">
        <v>1</v>
      </c>
      <c r="BB47">
        <v>1</v>
      </c>
      <c r="BC47">
        <v>8.7100000000000009</v>
      </c>
      <c r="BD47" t="s">
        <v>3</v>
      </c>
      <c r="BE47" t="s">
        <v>3</v>
      </c>
      <c r="BF47" t="s">
        <v>3</v>
      </c>
      <c r="BG47" t="s">
        <v>3</v>
      </c>
      <c r="BH47">
        <v>3</v>
      </c>
      <c r="BI47">
        <v>1</v>
      </c>
      <c r="BJ47" t="s">
        <v>72</v>
      </c>
      <c r="BM47">
        <v>159</v>
      </c>
      <c r="BN47">
        <v>0</v>
      </c>
      <c r="BO47" t="s">
        <v>70</v>
      </c>
      <c r="BP47">
        <v>1</v>
      </c>
      <c r="BQ47">
        <v>30</v>
      </c>
      <c r="BR47">
        <v>0</v>
      </c>
      <c r="BS47">
        <v>1</v>
      </c>
      <c r="BT47">
        <v>1</v>
      </c>
      <c r="BU47">
        <v>1</v>
      </c>
      <c r="BV47">
        <v>1</v>
      </c>
      <c r="BW47">
        <v>1</v>
      </c>
      <c r="BX47">
        <v>1</v>
      </c>
      <c r="BY47" t="s">
        <v>3</v>
      </c>
      <c r="BZ47">
        <v>0</v>
      </c>
      <c r="CA47">
        <v>0</v>
      </c>
      <c r="CE47">
        <v>30</v>
      </c>
      <c r="CF47">
        <v>0</v>
      </c>
      <c r="CG47">
        <v>0</v>
      </c>
      <c r="CM47">
        <v>0</v>
      </c>
      <c r="CN47" t="s">
        <v>3</v>
      </c>
      <c r="CO47">
        <v>0</v>
      </c>
      <c r="CP47">
        <f t="shared" si="41"/>
        <v>37502.730000000003</v>
      </c>
      <c r="CQ47">
        <f t="shared" si="42"/>
        <v>2626.24</v>
      </c>
      <c r="CR47">
        <f t="shared" si="43"/>
        <v>0</v>
      </c>
      <c r="CS47">
        <f t="shared" si="44"/>
        <v>0</v>
      </c>
      <c r="CT47">
        <f t="shared" si="45"/>
        <v>0</v>
      </c>
      <c r="CU47">
        <f t="shared" si="46"/>
        <v>0</v>
      </c>
      <c r="CV47">
        <f t="shared" si="47"/>
        <v>0</v>
      </c>
      <c r="CW47">
        <f t="shared" si="48"/>
        <v>0</v>
      </c>
      <c r="CX47">
        <f t="shared" si="49"/>
        <v>0</v>
      </c>
      <c r="CY47">
        <f>S47*(BZ47/100)</f>
        <v>0</v>
      </c>
      <c r="CZ47">
        <f>S47*(CA47/100)</f>
        <v>0</v>
      </c>
      <c r="DC47" t="s">
        <v>3</v>
      </c>
      <c r="DD47" t="s">
        <v>3</v>
      </c>
      <c r="DE47" t="s">
        <v>3</v>
      </c>
      <c r="DF47" t="s">
        <v>3</v>
      </c>
      <c r="DG47" t="s">
        <v>3</v>
      </c>
      <c r="DH47" t="s">
        <v>3</v>
      </c>
      <c r="DI47" t="s">
        <v>3</v>
      </c>
      <c r="DJ47" t="s">
        <v>3</v>
      </c>
      <c r="DK47" t="s">
        <v>3</v>
      </c>
      <c r="DL47" t="s">
        <v>3</v>
      </c>
      <c r="DM47" t="s">
        <v>3</v>
      </c>
      <c r="DN47">
        <v>134</v>
      </c>
      <c r="DO47">
        <v>83</v>
      </c>
      <c r="DP47">
        <v>1</v>
      </c>
      <c r="DQ47">
        <v>1</v>
      </c>
      <c r="DU47">
        <v>1009</v>
      </c>
      <c r="DV47" t="s">
        <v>44</v>
      </c>
      <c r="DW47" t="s">
        <v>44</v>
      </c>
      <c r="DX47">
        <v>1000</v>
      </c>
      <c r="EE47">
        <v>45706619</v>
      </c>
      <c r="EF47">
        <v>30</v>
      </c>
      <c r="EG47" t="s">
        <v>58</v>
      </c>
      <c r="EH47">
        <v>0</v>
      </c>
      <c r="EI47" t="s">
        <v>3</v>
      </c>
      <c r="EJ47">
        <v>1</v>
      </c>
      <c r="EK47">
        <v>159</v>
      </c>
      <c r="EL47" t="s">
        <v>59</v>
      </c>
      <c r="EM47" t="s">
        <v>60</v>
      </c>
      <c r="EO47" t="s">
        <v>3</v>
      </c>
      <c r="EQ47">
        <v>0</v>
      </c>
      <c r="ER47">
        <v>301.52</v>
      </c>
      <c r="ES47">
        <v>301.52</v>
      </c>
      <c r="ET47">
        <v>0</v>
      </c>
      <c r="EU47">
        <v>0</v>
      </c>
      <c r="EV47">
        <v>0</v>
      </c>
      <c r="EW47">
        <v>0</v>
      </c>
      <c r="EX47">
        <v>0</v>
      </c>
      <c r="FQ47">
        <v>0</v>
      </c>
      <c r="FR47">
        <f t="shared" si="50"/>
        <v>0</v>
      </c>
      <c r="FS47">
        <v>0</v>
      </c>
      <c r="FX47">
        <v>134</v>
      </c>
      <c r="FY47">
        <v>83</v>
      </c>
      <c r="GA47" t="s">
        <v>3</v>
      </c>
      <c r="GD47">
        <v>0</v>
      </c>
      <c r="GF47">
        <v>981832165</v>
      </c>
      <c r="GG47">
        <v>2</v>
      </c>
      <c r="GH47">
        <v>1</v>
      </c>
      <c r="GI47">
        <v>2</v>
      </c>
      <c r="GJ47">
        <v>0</v>
      </c>
      <c r="GK47">
        <f>ROUND(R47*(S12)/100,2)</f>
        <v>0</v>
      </c>
      <c r="GL47">
        <f t="shared" si="51"/>
        <v>0</v>
      </c>
      <c r="GM47">
        <f t="shared" si="59"/>
        <v>37502.730000000003</v>
      </c>
      <c r="GN47">
        <f t="shared" si="60"/>
        <v>37502.730000000003</v>
      </c>
      <c r="GO47">
        <f t="shared" si="61"/>
        <v>0</v>
      </c>
      <c r="GP47">
        <f t="shared" si="62"/>
        <v>0</v>
      </c>
      <c r="GR47">
        <v>0</v>
      </c>
      <c r="GS47">
        <v>3</v>
      </c>
      <c r="GT47">
        <v>0</v>
      </c>
      <c r="GU47" t="s">
        <v>3</v>
      </c>
      <c r="GV47">
        <f t="shared" si="52"/>
        <v>0</v>
      </c>
      <c r="GW47">
        <v>1</v>
      </c>
      <c r="GX47">
        <f t="shared" si="53"/>
        <v>0</v>
      </c>
      <c r="HA47">
        <v>0</v>
      </c>
      <c r="HB47">
        <v>0</v>
      </c>
      <c r="HC47">
        <f t="shared" si="54"/>
        <v>0</v>
      </c>
      <c r="HE47" t="s">
        <v>3</v>
      </c>
      <c r="HF47" t="s">
        <v>3</v>
      </c>
      <c r="IK47">
        <v>0</v>
      </c>
    </row>
    <row r="49" spans="1:206" x14ac:dyDescent="0.2">
      <c r="A49" s="3">
        <v>51</v>
      </c>
      <c r="B49" s="3">
        <f>B24</f>
        <v>1</v>
      </c>
      <c r="C49" s="3">
        <f>A24</f>
        <v>4</v>
      </c>
      <c r="D49" s="3">
        <f>ROW(A24)</f>
        <v>24</v>
      </c>
      <c r="E49" s="3"/>
      <c r="F49" s="3" t="str">
        <f>IF(F24&lt;&gt;"",F24,"")</f>
        <v>Новый раздел</v>
      </c>
      <c r="G49" s="3" t="str">
        <f>IF(G24&lt;&gt;"",G24,"")</f>
        <v>Ремонт АБП</v>
      </c>
      <c r="H49" s="3">
        <v>0</v>
      </c>
      <c r="I49" s="3"/>
      <c r="J49" s="3"/>
      <c r="K49" s="3"/>
      <c r="L49" s="3"/>
      <c r="M49" s="3"/>
      <c r="N49" s="3"/>
      <c r="O49" s="3">
        <f t="shared" ref="O49:T49" si="63">ROUND(AB49,2)</f>
        <v>13193.9</v>
      </c>
      <c r="P49" s="3">
        <f t="shared" si="63"/>
        <v>9172.41</v>
      </c>
      <c r="Q49" s="3">
        <f t="shared" si="63"/>
        <v>3546.39</v>
      </c>
      <c r="R49" s="3">
        <f t="shared" si="63"/>
        <v>154.30000000000001</v>
      </c>
      <c r="S49" s="3">
        <f t="shared" si="63"/>
        <v>475.1</v>
      </c>
      <c r="T49" s="3">
        <f t="shared" si="63"/>
        <v>0</v>
      </c>
      <c r="U49" s="3">
        <f>AH49</f>
        <v>41.572800000000001</v>
      </c>
      <c r="V49" s="3">
        <f>AI49</f>
        <v>0</v>
      </c>
      <c r="W49" s="3">
        <f>ROUND(AJ49,2)</f>
        <v>0</v>
      </c>
      <c r="X49" s="3">
        <f>ROUND(AK49,2)</f>
        <v>521.29999999999995</v>
      </c>
      <c r="Y49" s="3">
        <f>ROUND(AL49,2)</f>
        <v>335.82</v>
      </c>
      <c r="Z49" s="3"/>
      <c r="AA49" s="3"/>
      <c r="AB49" s="3">
        <f>ROUND(SUMIF(AA28:AA47,"=45748053",O28:O47),2)</f>
        <v>13193.9</v>
      </c>
      <c r="AC49" s="3">
        <f>ROUND(SUMIF(AA28:AA47,"=45748053",P28:P47),2)</f>
        <v>9172.41</v>
      </c>
      <c r="AD49" s="3">
        <f>ROUND(SUMIF(AA28:AA47,"=45748053",Q28:Q47),2)</f>
        <v>3546.39</v>
      </c>
      <c r="AE49" s="3">
        <f>ROUND(SUMIF(AA28:AA47,"=45748053",R28:R47),2)</f>
        <v>154.30000000000001</v>
      </c>
      <c r="AF49" s="3">
        <f>ROUND(SUMIF(AA28:AA47,"=45748053",S28:S47),2)</f>
        <v>475.1</v>
      </c>
      <c r="AG49" s="3">
        <f>ROUND(SUMIF(AA28:AA47,"=45748053",T28:T47),2)</f>
        <v>0</v>
      </c>
      <c r="AH49" s="3">
        <f>SUMIF(AA28:AA47,"=45748053",U28:U47)</f>
        <v>41.572800000000001</v>
      </c>
      <c r="AI49" s="3">
        <f>SUMIF(AA28:AA47,"=45748053",V28:V47)</f>
        <v>0</v>
      </c>
      <c r="AJ49" s="3">
        <f>ROUND(SUMIF(AA28:AA47,"=45748053",W28:W47),2)</f>
        <v>0</v>
      </c>
      <c r="AK49" s="3">
        <f>ROUND(SUMIF(AA28:AA47,"=45748053",X28:X47),2)</f>
        <v>521.29999999999995</v>
      </c>
      <c r="AL49" s="3">
        <f>ROUND(SUMIF(AA28:AA47,"=45748053",Y28:Y47),2)</f>
        <v>335.82</v>
      </c>
      <c r="AM49" s="3"/>
      <c r="AN49" s="3"/>
      <c r="AO49" s="3">
        <f t="shared" ref="AO49:BD49" si="64">ROUND(BX49,2)</f>
        <v>0</v>
      </c>
      <c r="AP49" s="3">
        <f t="shared" si="64"/>
        <v>0</v>
      </c>
      <c r="AQ49" s="3">
        <f t="shared" si="64"/>
        <v>0</v>
      </c>
      <c r="AR49" s="3">
        <f t="shared" si="64"/>
        <v>14321.04</v>
      </c>
      <c r="AS49" s="3">
        <f t="shared" si="64"/>
        <v>11631.41</v>
      </c>
      <c r="AT49" s="3">
        <f t="shared" si="64"/>
        <v>0</v>
      </c>
      <c r="AU49" s="3">
        <f t="shared" si="64"/>
        <v>2689.63</v>
      </c>
      <c r="AV49" s="3">
        <f t="shared" si="64"/>
        <v>9172.41</v>
      </c>
      <c r="AW49" s="3">
        <f t="shared" si="64"/>
        <v>9172.41</v>
      </c>
      <c r="AX49" s="3">
        <f t="shared" si="64"/>
        <v>0</v>
      </c>
      <c r="AY49" s="3">
        <f t="shared" si="64"/>
        <v>9172.41</v>
      </c>
      <c r="AZ49" s="3">
        <f t="shared" si="64"/>
        <v>0</v>
      </c>
      <c r="BA49" s="3">
        <f t="shared" si="64"/>
        <v>0</v>
      </c>
      <c r="BB49" s="3">
        <f t="shared" si="64"/>
        <v>0</v>
      </c>
      <c r="BC49" s="3">
        <f t="shared" si="64"/>
        <v>0</v>
      </c>
      <c r="BD49" s="3">
        <f t="shared" si="64"/>
        <v>0</v>
      </c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>
        <f>ROUND(SUMIF(AA28:AA47,"=45748053",FQ28:FQ47),2)</f>
        <v>0</v>
      </c>
      <c r="BY49" s="3">
        <f>ROUND(SUMIF(AA28:AA47,"=45748053",FR28:FR47),2)</f>
        <v>0</v>
      </c>
      <c r="BZ49" s="3">
        <f>ROUND(SUMIF(AA28:AA47,"=45748053",GL28:GL47),2)</f>
        <v>0</v>
      </c>
      <c r="CA49" s="3">
        <f>ROUND(SUMIF(AA28:AA47,"=45748053",GM28:GM47),2)</f>
        <v>14321.04</v>
      </c>
      <c r="CB49" s="3">
        <f>ROUND(SUMIF(AA28:AA47,"=45748053",GN28:GN47),2)</f>
        <v>11631.41</v>
      </c>
      <c r="CC49" s="3">
        <f>ROUND(SUMIF(AA28:AA47,"=45748053",GO28:GO47),2)</f>
        <v>0</v>
      </c>
      <c r="CD49" s="3">
        <f>ROUND(SUMIF(AA28:AA47,"=45748053",GP28:GP47),2)</f>
        <v>2689.63</v>
      </c>
      <c r="CE49" s="3">
        <f>AC49-BX49</f>
        <v>9172.41</v>
      </c>
      <c r="CF49" s="3">
        <f>AC49-BY49</f>
        <v>9172.41</v>
      </c>
      <c r="CG49" s="3">
        <f>BX49-BZ49</f>
        <v>0</v>
      </c>
      <c r="CH49" s="3">
        <f>AC49-BX49-BY49+BZ49</f>
        <v>9172.41</v>
      </c>
      <c r="CI49" s="3">
        <f>BY49-BZ49</f>
        <v>0</v>
      </c>
      <c r="CJ49" s="3">
        <f>ROUND(SUMIF(AA28:AA47,"=45748053",GX28:GX47),2)</f>
        <v>0</v>
      </c>
      <c r="CK49" s="3">
        <f>ROUND(SUMIF(AA28:AA47,"=45748053",GY28:GY47),2)</f>
        <v>0</v>
      </c>
      <c r="CL49" s="3">
        <f>ROUND(SUMIF(AA28:AA47,"=45748053",GZ28:GZ47),2)</f>
        <v>0</v>
      </c>
      <c r="CM49" s="3">
        <f>ROUND(SUMIF(AA28:AA47,"=45748053",HD28:HD47),2)</f>
        <v>0</v>
      </c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4">
        <f t="shared" ref="DG49:DL49" si="65">ROUND(DT49,2)</f>
        <v>124218.57</v>
      </c>
      <c r="DH49" s="4">
        <f t="shared" si="65"/>
        <v>79024.12</v>
      </c>
      <c r="DI49" s="4">
        <f t="shared" si="65"/>
        <v>33255.18</v>
      </c>
      <c r="DJ49" s="4">
        <f t="shared" si="65"/>
        <v>3877.55</v>
      </c>
      <c r="DK49" s="4">
        <f t="shared" si="65"/>
        <v>11939.27</v>
      </c>
      <c r="DL49" s="4">
        <f t="shared" si="65"/>
        <v>0</v>
      </c>
      <c r="DM49" s="4">
        <f>DZ49</f>
        <v>41.572800000000001</v>
      </c>
      <c r="DN49" s="4">
        <f>EA49</f>
        <v>0</v>
      </c>
      <c r="DO49" s="4">
        <f>ROUND(EB49,2)</f>
        <v>0</v>
      </c>
      <c r="DP49" s="4">
        <f>ROUND(EC49,2)</f>
        <v>10606.53</v>
      </c>
      <c r="DQ49" s="4">
        <f>ROUND(ED49,2)</f>
        <v>4895.09</v>
      </c>
      <c r="DR49" s="4"/>
      <c r="DS49" s="4"/>
      <c r="DT49" s="4">
        <f>ROUND(SUMIF(AA28:AA47,"=45747932",O28:O47),2)</f>
        <v>124218.57</v>
      </c>
      <c r="DU49" s="4">
        <f>ROUND(SUMIF(AA28:AA47,"=45747932",P28:P47),2)</f>
        <v>79024.12</v>
      </c>
      <c r="DV49" s="4">
        <f>ROUND(SUMIF(AA28:AA47,"=45747932",Q28:Q47),2)</f>
        <v>33255.18</v>
      </c>
      <c r="DW49" s="4">
        <f>ROUND(SUMIF(AA28:AA47,"=45747932",R28:R47),2)</f>
        <v>3877.55</v>
      </c>
      <c r="DX49" s="4">
        <f>ROUND(SUMIF(AA28:AA47,"=45747932",S28:S47),2)</f>
        <v>11939.27</v>
      </c>
      <c r="DY49" s="4">
        <f>ROUND(SUMIF(AA28:AA47,"=45747932",T28:T47),2)</f>
        <v>0</v>
      </c>
      <c r="DZ49" s="4">
        <f>SUMIF(AA28:AA47,"=45747932",U28:U47)</f>
        <v>41.572800000000001</v>
      </c>
      <c r="EA49" s="4">
        <f>SUMIF(AA28:AA47,"=45747932",V28:V47)</f>
        <v>0</v>
      </c>
      <c r="EB49" s="4">
        <f>ROUND(SUMIF(AA28:AA47,"=45747932",W28:W47),2)</f>
        <v>0</v>
      </c>
      <c r="EC49" s="4">
        <f>ROUND(SUMIF(AA28:AA47,"=45747932",X28:X47),2)</f>
        <v>10606.53</v>
      </c>
      <c r="ED49" s="4">
        <f>ROUND(SUMIF(AA28:AA47,"=45747932",Y28:Y47),2)</f>
        <v>4895.09</v>
      </c>
      <c r="EE49" s="4"/>
      <c r="EF49" s="4"/>
      <c r="EG49" s="4">
        <f t="shared" ref="EG49:EV49" si="66">ROUND(FP49,2)</f>
        <v>0</v>
      </c>
      <c r="EH49" s="4">
        <f t="shared" si="66"/>
        <v>0</v>
      </c>
      <c r="EI49" s="4">
        <f t="shared" si="66"/>
        <v>0</v>
      </c>
      <c r="EJ49" s="4">
        <f t="shared" si="66"/>
        <v>145807.94</v>
      </c>
      <c r="EK49" s="4">
        <f t="shared" si="66"/>
        <v>120885.65</v>
      </c>
      <c r="EL49" s="4">
        <f t="shared" si="66"/>
        <v>0</v>
      </c>
      <c r="EM49" s="4">
        <f t="shared" si="66"/>
        <v>24922.29</v>
      </c>
      <c r="EN49" s="4">
        <f t="shared" si="66"/>
        <v>79024.12</v>
      </c>
      <c r="EO49" s="4">
        <f t="shared" si="66"/>
        <v>79024.12</v>
      </c>
      <c r="EP49" s="4">
        <f t="shared" si="66"/>
        <v>0</v>
      </c>
      <c r="EQ49" s="4">
        <f t="shared" si="66"/>
        <v>79024.12</v>
      </c>
      <c r="ER49" s="4">
        <f t="shared" si="66"/>
        <v>0</v>
      </c>
      <c r="ES49" s="4">
        <f t="shared" si="66"/>
        <v>0</v>
      </c>
      <c r="ET49" s="4">
        <f t="shared" si="66"/>
        <v>0</v>
      </c>
      <c r="EU49" s="4">
        <f t="shared" si="66"/>
        <v>0</v>
      </c>
      <c r="EV49" s="4">
        <f t="shared" si="66"/>
        <v>0</v>
      </c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>
        <f>ROUND(SUMIF(AA28:AA47,"=45747932",FQ28:FQ47),2)</f>
        <v>0</v>
      </c>
      <c r="FQ49" s="4">
        <f>ROUND(SUMIF(AA28:AA47,"=45747932",FR28:FR47),2)</f>
        <v>0</v>
      </c>
      <c r="FR49" s="4">
        <f>ROUND(SUMIF(AA28:AA47,"=45747932",GL28:GL47),2)</f>
        <v>0</v>
      </c>
      <c r="FS49" s="4">
        <f>ROUND(SUMIF(AA28:AA47,"=45747932",GM28:GM47),2)</f>
        <v>145807.94</v>
      </c>
      <c r="FT49" s="4">
        <f>ROUND(SUMIF(AA28:AA47,"=45747932",GN28:GN47),2)</f>
        <v>120885.65</v>
      </c>
      <c r="FU49" s="4">
        <f>ROUND(SUMIF(AA28:AA47,"=45747932",GO28:GO47),2)</f>
        <v>0</v>
      </c>
      <c r="FV49" s="4">
        <f>ROUND(SUMIF(AA28:AA47,"=45747932",GP28:GP47),2)</f>
        <v>24922.29</v>
      </c>
      <c r="FW49" s="4">
        <f>DU49-FP49</f>
        <v>79024.12</v>
      </c>
      <c r="FX49" s="4">
        <f>DU49-FQ49</f>
        <v>79024.12</v>
      </c>
      <c r="FY49" s="4">
        <f>FP49-FR49</f>
        <v>0</v>
      </c>
      <c r="FZ49" s="4">
        <f>DU49-FP49-FQ49+FR49</f>
        <v>79024.12</v>
      </c>
      <c r="GA49" s="4">
        <f>FQ49-FR49</f>
        <v>0</v>
      </c>
      <c r="GB49" s="4">
        <f>ROUND(SUMIF(AA28:AA47,"=45747932",GX28:GX47),2)</f>
        <v>0</v>
      </c>
      <c r="GC49" s="4">
        <f>ROUND(SUMIF(AA28:AA47,"=45747932",GY28:GY47),2)</f>
        <v>0</v>
      </c>
      <c r="GD49" s="4">
        <f>ROUND(SUMIF(AA28:AA47,"=45747932",GZ28:GZ47),2)</f>
        <v>0</v>
      </c>
      <c r="GE49" s="4">
        <f>ROUND(SUMIF(AA28:AA47,"=45747932",HD28:HD47),2)</f>
        <v>0</v>
      </c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>
        <v>0</v>
      </c>
    </row>
    <row r="51" spans="1:206" x14ac:dyDescent="0.2">
      <c r="A51" s="5">
        <v>50</v>
      </c>
      <c r="B51" s="5">
        <v>0</v>
      </c>
      <c r="C51" s="5">
        <v>0</v>
      </c>
      <c r="D51" s="5">
        <v>1</v>
      </c>
      <c r="E51" s="5">
        <v>201</v>
      </c>
      <c r="F51" s="5">
        <f>ROUND(Source!O49,O51)</f>
        <v>13193.9</v>
      </c>
      <c r="G51" s="5" t="s">
        <v>73</v>
      </c>
      <c r="H51" s="5" t="s">
        <v>74</v>
      </c>
      <c r="I51" s="5"/>
      <c r="J51" s="5"/>
      <c r="K51" s="5">
        <v>201</v>
      </c>
      <c r="L51" s="5">
        <v>1</v>
      </c>
      <c r="M51" s="5">
        <v>3</v>
      </c>
      <c r="N51" s="5" t="s">
        <v>3</v>
      </c>
      <c r="O51" s="5">
        <v>2</v>
      </c>
      <c r="P51" s="5">
        <f>ROUND(Source!DG49,O51)</f>
        <v>124218.57</v>
      </c>
      <c r="Q51" s="5"/>
      <c r="R51" s="5"/>
      <c r="S51" s="5"/>
      <c r="T51" s="5"/>
      <c r="U51" s="5"/>
      <c r="V51" s="5"/>
      <c r="W51" s="5"/>
    </row>
    <row r="52" spans="1:206" x14ac:dyDescent="0.2">
      <c r="A52" s="5">
        <v>50</v>
      </c>
      <c r="B52" s="5">
        <v>0</v>
      </c>
      <c r="C52" s="5">
        <v>0</v>
      </c>
      <c r="D52" s="5">
        <v>1</v>
      </c>
      <c r="E52" s="5">
        <v>202</v>
      </c>
      <c r="F52" s="5">
        <f>ROUND(Source!P49,O52)</f>
        <v>9172.41</v>
      </c>
      <c r="G52" s="5" t="s">
        <v>75</v>
      </c>
      <c r="H52" s="5" t="s">
        <v>76</v>
      </c>
      <c r="I52" s="5"/>
      <c r="J52" s="5"/>
      <c r="K52" s="5">
        <v>202</v>
      </c>
      <c r="L52" s="5">
        <v>2</v>
      </c>
      <c r="M52" s="5">
        <v>3</v>
      </c>
      <c r="N52" s="5" t="s">
        <v>3</v>
      </c>
      <c r="O52" s="5">
        <v>2</v>
      </c>
      <c r="P52" s="5">
        <f>ROUND(Source!DH49,O52)</f>
        <v>79024.12</v>
      </c>
      <c r="Q52" s="5"/>
      <c r="R52" s="5"/>
      <c r="S52" s="5"/>
      <c r="T52" s="5"/>
      <c r="U52" s="5"/>
      <c r="V52" s="5"/>
      <c r="W52" s="5"/>
    </row>
    <row r="53" spans="1:206" x14ac:dyDescent="0.2">
      <c r="A53" s="5">
        <v>50</v>
      </c>
      <c r="B53" s="5">
        <v>0</v>
      </c>
      <c r="C53" s="5">
        <v>0</v>
      </c>
      <c r="D53" s="5">
        <v>1</v>
      </c>
      <c r="E53" s="5">
        <v>222</v>
      </c>
      <c r="F53" s="5">
        <f>ROUND(Source!AO49,O53)</f>
        <v>0</v>
      </c>
      <c r="G53" s="5" t="s">
        <v>77</v>
      </c>
      <c r="H53" s="5" t="s">
        <v>78</v>
      </c>
      <c r="I53" s="5"/>
      <c r="J53" s="5"/>
      <c r="K53" s="5">
        <v>222</v>
      </c>
      <c r="L53" s="5">
        <v>3</v>
      </c>
      <c r="M53" s="5">
        <v>3</v>
      </c>
      <c r="N53" s="5" t="s">
        <v>3</v>
      </c>
      <c r="O53" s="5">
        <v>2</v>
      </c>
      <c r="P53" s="5">
        <f>ROUND(Source!EG49,O53)</f>
        <v>0</v>
      </c>
      <c r="Q53" s="5"/>
      <c r="R53" s="5"/>
      <c r="S53" s="5"/>
      <c r="T53" s="5"/>
      <c r="U53" s="5"/>
      <c r="V53" s="5"/>
      <c r="W53" s="5"/>
    </row>
    <row r="54" spans="1:206" x14ac:dyDescent="0.2">
      <c r="A54" s="5">
        <v>50</v>
      </c>
      <c r="B54" s="5">
        <v>0</v>
      </c>
      <c r="C54" s="5">
        <v>0</v>
      </c>
      <c r="D54" s="5">
        <v>1</v>
      </c>
      <c r="E54" s="5">
        <v>225</v>
      </c>
      <c r="F54" s="5">
        <f>ROUND(Source!AV49,O54)</f>
        <v>9172.41</v>
      </c>
      <c r="G54" s="5" t="s">
        <v>79</v>
      </c>
      <c r="H54" s="5" t="s">
        <v>80</v>
      </c>
      <c r="I54" s="5"/>
      <c r="J54" s="5"/>
      <c r="K54" s="5">
        <v>225</v>
      </c>
      <c r="L54" s="5">
        <v>4</v>
      </c>
      <c r="M54" s="5">
        <v>3</v>
      </c>
      <c r="N54" s="5" t="s">
        <v>3</v>
      </c>
      <c r="O54" s="5">
        <v>2</v>
      </c>
      <c r="P54" s="5">
        <f>ROUND(Source!EN49,O54)</f>
        <v>79024.12</v>
      </c>
      <c r="Q54" s="5"/>
      <c r="R54" s="5"/>
      <c r="S54" s="5"/>
      <c r="T54" s="5"/>
      <c r="U54" s="5"/>
      <c r="V54" s="5"/>
      <c r="W54" s="5"/>
    </row>
    <row r="55" spans="1:206" x14ac:dyDescent="0.2">
      <c r="A55" s="5">
        <v>50</v>
      </c>
      <c r="B55" s="5">
        <v>0</v>
      </c>
      <c r="C55" s="5">
        <v>0</v>
      </c>
      <c r="D55" s="5">
        <v>1</v>
      </c>
      <c r="E55" s="5">
        <v>226</v>
      </c>
      <c r="F55" s="5">
        <f>ROUND(Source!AW49,O55)</f>
        <v>9172.41</v>
      </c>
      <c r="G55" s="5" t="s">
        <v>81</v>
      </c>
      <c r="H55" s="5" t="s">
        <v>82</v>
      </c>
      <c r="I55" s="5"/>
      <c r="J55" s="5"/>
      <c r="K55" s="5">
        <v>226</v>
      </c>
      <c r="L55" s="5">
        <v>5</v>
      </c>
      <c r="M55" s="5">
        <v>3</v>
      </c>
      <c r="N55" s="5" t="s">
        <v>3</v>
      </c>
      <c r="O55" s="5">
        <v>2</v>
      </c>
      <c r="P55" s="5">
        <f>ROUND(Source!EO49,O55)</f>
        <v>79024.12</v>
      </c>
      <c r="Q55" s="5"/>
      <c r="R55" s="5"/>
      <c r="S55" s="5"/>
      <c r="T55" s="5"/>
      <c r="U55" s="5"/>
      <c r="V55" s="5"/>
      <c r="W55" s="5"/>
    </row>
    <row r="56" spans="1:206" x14ac:dyDescent="0.2">
      <c r="A56" s="5">
        <v>50</v>
      </c>
      <c r="B56" s="5">
        <v>0</v>
      </c>
      <c r="C56" s="5">
        <v>0</v>
      </c>
      <c r="D56" s="5">
        <v>1</v>
      </c>
      <c r="E56" s="5">
        <v>227</v>
      </c>
      <c r="F56" s="5">
        <f>ROUND(Source!AX49,O56)</f>
        <v>0</v>
      </c>
      <c r="G56" s="5" t="s">
        <v>83</v>
      </c>
      <c r="H56" s="5" t="s">
        <v>84</v>
      </c>
      <c r="I56" s="5"/>
      <c r="J56" s="5"/>
      <c r="K56" s="5">
        <v>227</v>
      </c>
      <c r="L56" s="5">
        <v>6</v>
      </c>
      <c r="M56" s="5">
        <v>3</v>
      </c>
      <c r="N56" s="5" t="s">
        <v>3</v>
      </c>
      <c r="O56" s="5">
        <v>2</v>
      </c>
      <c r="P56" s="5">
        <f>ROUND(Source!EP49,O56)</f>
        <v>0</v>
      </c>
      <c r="Q56" s="5"/>
      <c r="R56" s="5"/>
      <c r="S56" s="5"/>
      <c r="T56" s="5"/>
      <c r="U56" s="5"/>
      <c r="V56" s="5"/>
      <c r="W56" s="5"/>
    </row>
    <row r="57" spans="1:206" x14ac:dyDescent="0.2">
      <c r="A57" s="5">
        <v>50</v>
      </c>
      <c r="B57" s="5">
        <v>0</v>
      </c>
      <c r="C57" s="5">
        <v>0</v>
      </c>
      <c r="D57" s="5">
        <v>1</v>
      </c>
      <c r="E57" s="5">
        <v>228</v>
      </c>
      <c r="F57" s="5">
        <f>ROUND(Source!AY49,O57)</f>
        <v>9172.41</v>
      </c>
      <c r="G57" s="5" t="s">
        <v>85</v>
      </c>
      <c r="H57" s="5" t="s">
        <v>86</v>
      </c>
      <c r="I57" s="5"/>
      <c r="J57" s="5"/>
      <c r="K57" s="5">
        <v>228</v>
      </c>
      <c r="L57" s="5">
        <v>7</v>
      </c>
      <c r="M57" s="5">
        <v>3</v>
      </c>
      <c r="N57" s="5" t="s">
        <v>3</v>
      </c>
      <c r="O57" s="5">
        <v>2</v>
      </c>
      <c r="P57" s="5">
        <f>ROUND(Source!EQ49,O57)</f>
        <v>79024.12</v>
      </c>
      <c r="Q57" s="5"/>
      <c r="R57" s="5"/>
      <c r="S57" s="5"/>
      <c r="T57" s="5"/>
      <c r="U57" s="5"/>
      <c r="V57" s="5"/>
      <c r="W57" s="5"/>
    </row>
    <row r="58" spans="1:206" x14ac:dyDescent="0.2">
      <c r="A58" s="5">
        <v>50</v>
      </c>
      <c r="B58" s="5">
        <v>0</v>
      </c>
      <c r="C58" s="5">
        <v>0</v>
      </c>
      <c r="D58" s="5">
        <v>1</v>
      </c>
      <c r="E58" s="5">
        <v>216</v>
      </c>
      <c r="F58" s="5">
        <f>ROUND(Source!AP49,O58)</f>
        <v>0</v>
      </c>
      <c r="G58" s="5" t="s">
        <v>87</v>
      </c>
      <c r="H58" s="5" t="s">
        <v>88</v>
      </c>
      <c r="I58" s="5"/>
      <c r="J58" s="5"/>
      <c r="K58" s="5">
        <v>216</v>
      </c>
      <c r="L58" s="5">
        <v>8</v>
      </c>
      <c r="M58" s="5">
        <v>3</v>
      </c>
      <c r="N58" s="5" t="s">
        <v>3</v>
      </c>
      <c r="O58" s="5">
        <v>2</v>
      </c>
      <c r="P58" s="5">
        <f>ROUND(Source!EH49,O58)</f>
        <v>0</v>
      </c>
      <c r="Q58" s="5"/>
      <c r="R58" s="5"/>
      <c r="S58" s="5"/>
      <c r="T58" s="5"/>
      <c r="U58" s="5"/>
      <c r="V58" s="5"/>
      <c r="W58" s="5"/>
    </row>
    <row r="59" spans="1:206" x14ac:dyDescent="0.2">
      <c r="A59" s="5">
        <v>50</v>
      </c>
      <c r="B59" s="5">
        <v>0</v>
      </c>
      <c r="C59" s="5">
        <v>0</v>
      </c>
      <c r="D59" s="5">
        <v>1</v>
      </c>
      <c r="E59" s="5">
        <v>223</v>
      </c>
      <c r="F59" s="5">
        <f>ROUND(Source!AQ49,O59)</f>
        <v>0</v>
      </c>
      <c r="G59" s="5" t="s">
        <v>89</v>
      </c>
      <c r="H59" s="5" t="s">
        <v>90</v>
      </c>
      <c r="I59" s="5"/>
      <c r="J59" s="5"/>
      <c r="K59" s="5">
        <v>223</v>
      </c>
      <c r="L59" s="5">
        <v>9</v>
      </c>
      <c r="M59" s="5">
        <v>3</v>
      </c>
      <c r="N59" s="5" t="s">
        <v>3</v>
      </c>
      <c r="O59" s="5">
        <v>2</v>
      </c>
      <c r="P59" s="5">
        <f>ROUND(Source!EI49,O59)</f>
        <v>0</v>
      </c>
      <c r="Q59" s="5"/>
      <c r="R59" s="5"/>
      <c r="S59" s="5"/>
      <c r="T59" s="5"/>
      <c r="U59" s="5"/>
      <c r="V59" s="5"/>
      <c r="W59" s="5"/>
    </row>
    <row r="60" spans="1:206" x14ac:dyDescent="0.2">
      <c r="A60" s="5">
        <v>50</v>
      </c>
      <c r="B60" s="5">
        <v>0</v>
      </c>
      <c r="C60" s="5">
        <v>0</v>
      </c>
      <c r="D60" s="5">
        <v>1</v>
      </c>
      <c r="E60" s="5">
        <v>229</v>
      </c>
      <c r="F60" s="5">
        <f>ROUND(Source!AZ49,O60)</f>
        <v>0</v>
      </c>
      <c r="G60" s="5" t="s">
        <v>91</v>
      </c>
      <c r="H60" s="5" t="s">
        <v>92</v>
      </c>
      <c r="I60" s="5"/>
      <c r="J60" s="5"/>
      <c r="K60" s="5">
        <v>229</v>
      </c>
      <c r="L60" s="5">
        <v>10</v>
      </c>
      <c r="M60" s="5">
        <v>3</v>
      </c>
      <c r="N60" s="5" t="s">
        <v>3</v>
      </c>
      <c r="O60" s="5">
        <v>2</v>
      </c>
      <c r="P60" s="5">
        <f>ROUND(Source!ER49,O60)</f>
        <v>0</v>
      </c>
      <c r="Q60" s="5"/>
      <c r="R60" s="5"/>
      <c r="S60" s="5"/>
      <c r="T60" s="5"/>
      <c r="U60" s="5"/>
      <c r="V60" s="5"/>
      <c r="W60" s="5"/>
    </row>
    <row r="61" spans="1:206" x14ac:dyDescent="0.2">
      <c r="A61" s="5">
        <v>50</v>
      </c>
      <c r="B61" s="5">
        <v>0</v>
      </c>
      <c r="C61" s="5">
        <v>0</v>
      </c>
      <c r="D61" s="5">
        <v>1</v>
      </c>
      <c r="E61" s="5">
        <v>203</v>
      </c>
      <c r="F61" s="5">
        <f>ROUND(Source!Q49,O61)</f>
        <v>3546.39</v>
      </c>
      <c r="G61" s="5" t="s">
        <v>93</v>
      </c>
      <c r="H61" s="5" t="s">
        <v>94</v>
      </c>
      <c r="I61" s="5"/>
      <c r="J61" s="5"/>
      <c r="K61" s="5">
        <v>203</v>
      </c>
      <c r="L61" s="5">
        <v>11</v>
      </c>
      <c r="M61" s="5">
        <v>3</v>
      </c>
      <c r="N61" s="5" t="s">
        <v>3</v>
      </c>
      <c r="O61" s="5">
        <v>2</v>
      </c>
      <c r="P61" s="5">
        <f>ROUND(Source!DI49,O61)</f>
        <v>33255.18</v>
      </c>
      <c r="Q61" s="5"/>
      <c r="R61" s="5"/>
      <c r="S61" s="5"/>
      <c r="T61" s="5"/>
      <c r="U61" s="5"/>
      <c r="V61" s="5"/>
      <c r="W61" s="5"/>
    </row>
    <row r="62" spans="1:206" x14ac:dyDescent="0.2">
      <c r="A62" s="5">
        <v>50</v>
      </c>
      <c r="B62" s="5">
        <v>0</v>
      </c>
      <c r="C62" s="5">
        <v>0</v>
      </c>
      <c r="D62" s="5">
        <v>1</v>
      </c>
      <c r="E62" s="5">
        <v>231</v>
      </c>
      <c r="F62" s="5">
        <f>ROUND(Source!BB49,O62)</f>
        <v>0</v>
      </c>
      <c r="G62" s="5" t="s">
        <v>95</v>
      </c>
      <c r="H62" s="5" t="s">
        <v>96</v>
      </c>
      <c r="I62" s="5"/>
      <c r="J62" s="5"/>
      <c r="K62" s="5">
        <v>231</v>
      </c>
      <c r="L62" s="5">
        <v>12</v>
      </c>
      <c r="M62" s="5">
        <v>3</v>
      </c>
      <c r="N62" s="5" t="s">
        <v>3</v>
      </c>
      <c r="O62" s="5">
        <v>2</v>
      </c>
      <c r="P62" s="5">
        <f>ROUND(Source!ET49,O62)</f>
        <v>0</v>
      </c>
      <c r="Q62" s="5"/>
      <c r="R62" s="5"/>
      <c r="S62" s="5"/>
      <c r="T62" s="5"/>
      <c r="U62" s="5"/>
      <c r="V62" s="5"/>
      <c r="W62" s="5"/>
    </row>
    <row r="63" spans="1:206" x14ac:dyDescent="0.2">
      <c r="A63" s="5">
        <v>50</v>
      </c>
      <c r="B63" s="5">
        <v>0</v>
      </c>
      <c r="C63" s="5">
        <v>0</v>
      </c>
      <c r="D63" s="5">
        <v>1</v>
      </c>
      <c r="E63" s="5">
        <v>204</v>
      </c>
      <c r="F63" s="5">
        <f>ROUND(Source!R49,O63)</f>
        <v>154.30000000000001</v>
      </c>
      <c r="G63" s="5" t="s">
        <v>97</v>
      </c>
      <c r="H63" s="5" t="s">
        <v>98</v>
      </c>
      <c r="I63" s="5"/>
      <c r="J63" s="5"/>
      <c r="K63" s="5">
        <v>204</v>
      </c>
      <c r="L63" s="5">
        <v>13</v>
      </c>
      <c r="M63" s="5">
        <v>3</v>
      </c>
      <c r="N63" s="5" t="s">
        <v>3</v>
      </c>
      <c r="O63" s="5">
        <v>2</v>
      </c>
      <c r="P63" s="5">
        <f>ROUND(Source!DJ49,O63)</f>
        <v>3877.55</v>
      </c>
      <c r="Q63" s="5"/>
      <c r="R63" s="5"/>
      <c r="S63" s="5"/>
      <c r="T63" s="5"/>
      <c r="U63" s="5"/>
      <c r="V63" s="5"/>
      <c r="W63" s="5"/>
    </row>
    <row r="64" spans="1:206" x14ac:dyDescent="0.2">
      <c r="A64" s="5">
        <v>50</v>
      </c>
      <c r="B64" s="5">
        <v>0</v>
      </c>
      <c r="C64" s="5">
        <v>0</v>
      </c>
      <c r="D64" s="5">
        <v>1</v>
      </c>
      <c r="E64" s="5">
        <v>205</v>
      </c>
      <c r="F64" s="5">
        <f>ROUND(Source!S49,O64)</f>
        <v>475.1</v>
      </c>
      <c r="G64" s="5" t="s">
        <v>99</v>
      </c>
      <c r="H64" s="5" t="s">
        <v>100</v>
      </c>
      <c r="I64" s="5"/>
      <c r="J64" s="5"/>
      <c r="K64" s="5">
        <v>205</v>
      </c>
      <c r="L64" s="5">
        <v>14</v>
      </c>
      <c r="M64" s="5">
        <v>3</v>
      </c>
      <c r="N64" s="5" t="s">
        <v>3</v>
      </c>
      <c r="O64" s="5">
        <v>2</v>
      </c>
      <c r="P64" s="5">
        <f>ROUND(Source!DK49,O64)</f>
        <v>11939.27</v>
      </c>
      <c r="Q64" s="5"/>
      <c r="R64" s="5"/>
      <c r="S64" s="5"/>
      <c r="T64" s="5"/>
      <c r="U64" s="5"/>
      <c r="V64" s="5"/>
      <c r="W64" s="5"/>
    </row>
    <row r="65" spans="1:88" x14ac:dyDescent="0.2">
      <c r="A65" s="5">
        <v>50</v>
      </c>
      <c r="B65" s="5">
        <v>0</v>
      </c>
      <c r="C65" s="5">
        <v>0</v>
      </c>
      <c r="D65" s="5">
        <v>1</v>
      </c>
      <c r="E65" s="5">
        <v>232</v>
      </c>
      <c r="F65" s="5">
        <f>ROUND(Source!BC49,O65)</f>
        <v>0</v>
      </c>
      <c r="G65" s="5" t="s">
        <v>101</v>
      </c>
      <c r="H65" s="5" t="s">
        <v>102</v>
      </c>
      <c r="I65" s="5"/>
      <c r="J65" s="5"/>
      <c r="K65" s="5">
        <v>232</v>
      </c>
      <c r="L65" s="5">
        <v>15</v>
      </c>
      <c r="M65" s="5">
        <v>3</v>
      </c>
      <c r="N65" s="5" t="s">
        <v>3</v>
      </c>
      <c r="O65" s="5">
        <v>2</v>
      </c>
      <c r="P65" s="5">
        <f>ROUND(Source!EU49,O65)</f>
        <v>0</v>
      </c>
      <c r="Q65" s="5"/>
      <c r="R65" s="5"/>
      <c r="S65" s="5"/>
      <c r="T65" s="5"/>
      <c r="U65" s="5"/>
      <c r="V65" s="5"/>
      <c r="W65" s="5"/>
    </row>
    <row r="66" spans="1:88" x14ac:dyDescent="0.2">
      <c r="A66" s="5">
        <v>50</v>
      </c>
      <c r="B66" s="5">
        <v>0</v>
      </c>
      <c r="C66" s="5">
        <v>0</v>
      </c>
      <c r="D66" s="5">
        <v>1</v>
      </c>
      <c r="E66" s="5">
        <v>214</v>
      </c>
      <c r="F66" s="5">
        <f>ROUND(Source!AS49,O66)</f>
        <v>11631.41</v>
      </c>
      <c r="G66" s="5" t="s">
        <v>103</v>
      </c>
      <c r="H66" s="5" t="s">
        <v>104</v>
      </c>
      <c r="I66" s="5"/>
      <c r="J66" s="5"/>
      <c r="K66" s="5">
        <v>214</v>
      </c>
      <c r="L66" s="5">
        <v>16</v>
      </c>
      <c r="M66" s="5">
        <v>3</v>
      </c>
      <c r="N66" s="5" t="s">
        <v>3</v>
      </c>
      <c r="O66" s="5">
        <v>2</v>
      </c>
      <c r="P66" s="5">
        <f>ROUND(Source!EK49,O66)</f>
        <v>120885.65</v>
      </c>
      <c r="Q66" s="5"/>
      <c r="R66" s="5"/>
      <c r="S66" s="5"/>
      <c r="T66" s="5"/>
      <c r="U66" s="5"/>
      <c r="V66" s="5"/>
      <c r="W66" s="5"/>
    </row>
    <row r="67" spans="1:88" x14ac:dyDescent="0.2">
      <c r="A67" s="5">
        <v>50</v>
      </c>
      <c r="B67" s="5">
        <v>0</v>
      </c>
      <c r="C67" s="5">
        <v>0</v>
      </c>
      <c r="D67" s="5">
        <v>1</v>
      </c>
      <c r="E67" s="5">
        <v>215</v>
      </c>
      <c r="F67" s="5">
        <f>ROUND(Source!AT49,O67)</f>
        <v>0</v>
      </c>
      <c r="G67" s="5" t="s">
        <v>105</v>
      </c>
      <c r="H67" s="5" t="s">
        <v>106</v>
      </c>
      <c r="I67" s="5"/>
      <c r="J67" s="5"/>
      <c r="K67" s="5">
        <v>215</v>
      </c>
      <c r="L67" s="5">
        <v>17</v>
      </c>
      <c r="M67" s="5">
        <v>3</v>
      </c>
      <c r="N67" s="5" t="s">
        <v>3</v>
      </c>
      <c r="O67" s="5">
        <v>2</v>
      </c>
      <c r="P67" s="5">
        <f>ROUND(Source!EL49,O67)</f>
        <v>0</v>
      </c>
      <c r="Q67" s="5"/>
      <c r="R67" s="5"/>
      <c r="S67" s="5"/>
      <c r="T67" s="5"/>
      <c r="U67" s="5"/>
      <c r="V67" s="5"/>
      <c r="W67" s="5"/>
    </row>
    <row r="68" spans="1:88" x14ac:dyDescent="0.2">
      <c r="A68" s="5">
        <v>50</v>
      </c>
      <c r="B68" s="5">
        <v>0</v>
      </c>
      <c r="C68" s="5">
        <v>0</v>
      </c>
      <c r="D68" s="5">
        <v>1</v>
      </c>
      <c r="E68" s="5">
        <v>217</v>
      </c>
      <c r="F68" s="5">
        <f>ROUND(Source!AU49,O68)</f>
        <v>2689.63</v>
      </c>
      <c r="G68" s="5" t="s">
        <v>107</v>
      </c>
      <c r="H68" s="5" t="s">
        <v>108</v>
      </c>
      <c r="I68" s="5"/>
      <c r="J68" s="5"/>
      <c r="K68" s="5">
        <v>217</v>
      </c>
      <c r="L68" s="5">
        <v>18</v>
      </c>
      <c r="M68" s="5">
        <v>3</v>
      </c>
      <c r="N68" s="5" t="s">
        <v>3</v>
      </c>
      <c r="O68" s="5">
        <v>2</v>
      </c>
      <c r="P68" s="5">
        <f>ROUND(Source!EM49,O68)</f>
        <v>24922.29</v>
      </c>
      <c r="Q68" s="5"/>
      <c r="R68" s="5"/>
      <c r="S68" s="5"/>
      <c r="T68" s="5"/>
      <c r="U68" s="5"/>
      <c r="V68" s="5"/>
      <c r="W68" s="5"/>
    </row>
    <row r="69" spans="1:88" x14ac:dyDescent="0.2">
      <c r="A69" s="5">
        <v>50</v>
      </c>
      <c r="B69" s="5">
        <v>0</v>
      </c>
      <c r="C69" s="5">
        <v>0</v>
      </c>
      <c r="D69" s="5">
        <v>1</v>
      </c>
      <c r="E69" s="5">
        <v>230</v>
      </c>
      <c r="F69" s="5">
        <f>ROUND(Source!BA49,O69)</f>
        <v>0</v>
      </c>
      <c r="G69" s="5" t="s">
        <v>109</v>
      </c>
      <c r="H69" s="5" t="s">
        <v>110</v>
      </c>
      <c r="I69" s="5"/>
      <c r="J69" s="5"/>
      <c r="K69" s="5">
        <v>230</v>
      </c>
      <c r="L69" s="5">
        <v>19</v>
      </c>
      <c r="M69" s="5">
        <v>3</v>
      </c>
      <c r="N69" s="5" t="s">
        <v>3</v>
      </c>
      <c r="O69" s="5">
        <v>2</v>
      </c>
      <c r="P69" s="5">
        <f>ROUND(Source!ES49,O69)</f>
        <v>0</v>
      </c>
      <c r="Q69" s="5"/>
      <c r="R69" s="5"/>
      <c r="S69" s="5"/>
      <c r="T69" s="5"/>
      <c r="U69" s="5"/>
      <c r="V69" s="5"/>
      <c r="W69" s="5"/>
    </row>
    <row r="70" spans="1:88" x14ac:dyDescent="0.2">
      <c r="A70" s="5">
        <v>50</v>
      </c>
      <c r="B70" s="5">
        <v>0</v>
      </c>
      <c r="C70" s="5">
        <v>0</v>
      </c>
      <c r="D70" s="5">
        <v>1</v>
      </c>
      <c r="E70" s="5">
        <v>206</v>
      </c>
      <c r="F70" s="5">
        <f>ROUND(Source!T49,O70)</f>
        <v>0</v>
      </c>
      <c r="G70" s="5" t="s">
        <v>111</v>
      </c>
      <c r="H70" s="5" t="s">
        <v>112</v>
      </c>
      <c r="I70" s="5"/>
      <c r="J70" s="5"/>
      <c r="K70" s="5">
        <v>206</v>
      </c>
      <c r="L70" s="5">
        <v>20</v>
      </c>
      <c r="M70" s="5">
        <v>3</v>
      </c>
      <c r="N70" s="5" t="s">
        <v>3</v>
      </c>
      <c r="O70" s="5">
        <v>2</v>
      </c>
      <c r="P70" s="5">
        <f>ROUND(Source!DL49,O70)</f>
        <v>0</v>
      </c>
      <c r="Q70" s="5"/>
      <c r="R70" s="5"/>
      <c r="S70" s="5"/>
      <c r="T70" s="5"/>
      <c r="U70" s="5"/>
      <c r="V70" s="5"/>
      <c r="W70" s="5"/>
    </row>
    <row r="71" spans="1:88" x14ac:dyDescent="0.2">
      <c r="A71" s="5">
        <v>50</v>
      </c>
      <c r="B71" s="5">
        <v>0</v>
      </c>
      <c r="C71" s="5">
        <v>0</v>
      </c>
      <c r="D71" s="5">
        <v>1</v>
      </c>
      <c r="E71" s="5">
        <v>207</v>
      </c>
      <c r="F71" s="5">
        <f>Source!U49</f>
        <v>41.572800000000001</v>
      </c>
      <c r="G71" s="5" t="s">
        <v>113</v>
      </c>
      <c r="H71" s="5" t="s">
        <v>114</v>
      </c>
      <c r="I71" s="5"/>
      <c r="J71" s="5"/>
      <c r="K71" s="5">
        <v>207</v>
      </c>
      <c r="L71" s="5">
        <v>21</v>
      </c>
      <c r="M71" s="5">
        <v>3</v>
      </c>
      <c r="N71" s="5" t="s">
        <v>3</v>
      </c>
      <c r="O71" s="5">
        <v>-1</v>
      </c>
      <c r="P71" s="5">
        <f>Source!DM49</f>
        <v>41.572800000000001</v>
      </c>
      <c r="Q71" s="5"/>
      <c r="R71" s="5"/>
      <c r="S71" s="5"/>
      <c r="T71" s="5"/>
      <c r="U71" s="5"/>
      <c r="V71" s="5"/>
      <c r="W71" s="5"/>
    </row>
    <row r="72" spans="1:88" x14ac:dyDescent="0.2">
      <c r="A72" s="5">
        <v>50</v>
      </c>
      <c r="B72" s="5">
        <v>0</v>
      </c>
      <c r="C72" s="5">
        <v>0</v>
      </c>
      <c r="D72" s="5">
        <v>1</v>
      </c>
      <c r="E72" s="5">
        <v>208</v>
      </c>
      <c r="F72" s="5">
        <f>Source!V49</f>
        <v>0</v>
      </c>
      <c r="G72" s="5" t="s">
        <v>115</v>
      </c>
      <c r="H72" s="5" t="s">
        <v>116</v>
      </c>
      <c r="I72" s="5"/>
      <c r="J72" s="5"/>
      <c r="K72" s="5">
        <v>208</v>
      </c>
      <c r="L72" s="5">
        <v>22</v>
      </c>
      <c r="M72" s="5">
        <v>3</v>
      </c>
      <c r="N72" s="5" t="s">
        <v>3</v>
      </c>
      <c r="O72" s="5">
        <v>-1</v>
      </c>
      <c r="P72" s="5">
        <f>Source!DN49</f>
        <v>0</v>
      </c>
      <c r="Q72" s="5"/>
      <c r="R72" s="5"/>
      <c r="S72" s="5"/>
      <c r="T72" s="5"/>
      <c r="U72" s="5"/>
      <c r="V72" s="5"/>
      <c r="W72" s="5"/>
    </row>
    <row r="73" spans="1:88" x14ac:dyDescent="0.2">
      <c r="A73" s="5">
        <v>50</v>
      </c>
      <c r="B73" s="5">
        <v>0</v>
      </c>
      <c r="C73" s="5">
        <v>0</v>
      </c>
      <c r="D73" s="5">
        <v>1</v>
      </c>
      <c r="E73" s="5">
        <v>209</v>
      </c>
      <c r="F73" s="5">
        <f>ROUND(Source!W49,O73)</f>
        <v>0</v>
      </c>
      <c r="G73" s="5" t="s">
        <v>117</v>
      </c>
      <c r="H73" s="5" t="s">
        <v>118</v>
      </c>
      <c r="I73" s="5"/>
      <c r="J73" s="5"/>
      <c r="K73" s="5">
        <v>209</v>
      </c>
      <c r="L73" s="5">
        <v>23</v>
      </c>
      <c r="M73" s="5">
        <v>3</v>
      </c>
      <c r="N73" s="5" t="s">
        <v>3</v>
      </c>
      <c r="O73" s="5">
        <v>2</v>
      </c>
      <c r="P73" s="5">
        <f>ROUND(Source!DO49,O73)</f>
        <v>0</v>
      </c>
      <c r="Q73" s="5"/>
      <c r="R73" s="5"/>
      <c r="S73" s="5"/>
      <c r="T73" s="5"/>
      <c r="U73" s="5"/>
      <c r="V73" s="5"/>
      <c r="W73" s="5"/>
    </row>
    <row r="74" spans="1:88" x14ac:dyDescent="0.2">
      <c r="A74" s="5">
        <v>50</v>
      </c>
      <c r="B74" s="5">
        <v>0</v>
      </c>
      <c r="C74" s="5">
        <v>0</v>
      </c>
      <c r="D74" s="5">
        <v>1</v>
      </c>
      <c r="E74" s="5">
        <v>233</v>
      </c>
      <c r="F74" s="5">
        <f>ROUND(Source!BD49,O74)</f>
        <v>0</v>
      </c>
      <c r="G74" s="5" t="s">
        <v>119</v>
      </c>
      <c r="H74" s="5" t="s">
        <v>120</v>
      </c>
      <c r="I74" s="5"/>
      <c r="J74" s="5"/>
      <c r="K74" s="5">
        <v>233</v>
      </c>
      <c r="L74" s="5">
        <v>24</v>
      </c>
      <c r="M74" s="5">
        <v>3</v>
      </c>
      <c r="N74" s="5" t="s">
        <v>3</v>
      </c>
      <c r="O74" s="5">
        <v>2</v>
      </c>
      <c r="P74" s="5">
        <f>ROUND(Source!EV49,O74)</f>
        <v>0</v>
      </c>
      <c r="Q74" s="5"/>
      <c r="R74" s="5"/>
      <c r="S74" s="5"/>
      <c r="T74" s="5"/>
      <c r="U74" s="5"/>
      <c r="V74" s="5"/>
      <c r="W74" s="5"/>
    </row>
    <row r="75" spans="1:88" x14ac:dyDescent="0.2">
      <c r="A75" s="5">
        <v>50</v>
      </c>
      <c r="B75" s="5">
        <v>0</v>
      </c>
      <c r="C75" s="5">
        <v>0</v>
      </c>
      <c r="D75" s="5">
        <v>1</v>
      </c>
      <c r="E75" s="5">
        <v>210</v>
      </c>
      <c r="F75" s="5">
        <f>ROUND(Source!X49,O75)</f>
        <v>521.29999999999995</v>
      </c>
      <c r="G75" s="5" t="s">
        <v>121</v>
      </c>
      <c r="H75" s="5" t="s">
        <v>122</v>
      </c>
      <c r="I75" s="5"/>
      <c r="J75" s="5"/>
      <c r="K75" s="5">
        <v>210</v>
      </c>
      <c r="L75" s="5">
        <v>25</v>
      </c>
      <c r="M75" s="5">
        <v>3</v>
      </c>
      <c r="N75" s="5" t="s">
        <v>3</v>
      </c>
      <c r="O75" s="5">
        <v>2</v>
      </c>
      <c r="P75" s="5">
        <f>ROUND(Source!DP49,O75)</f>
        <v>10606.53</v>
      </c>
      <c r="Q75" s="5"/>
      <c r="R75" s="5"/>
      <c r="S75" s="5"/>
      <c r="T75" s="5"/>
      <c r="U75" s="5"/>
      <c r="V75" s="5"/>
      <c r="W75" s="5"/>
    </row>
    <row r="76" spans="1:88" x14ac:dyDescent="0.2">
      <c r="A76" s="5">
        <v>50</v>
      </c>
      <c r="B76" s="5">
        <v>0</v>
      </c>
      <c r="C76" s="5">
        <v>0</v>
      </c>
      <c r="D76" s="5">
        <v>1</v>
      </c>
      <c r="E76" s="5">
        <v>211</v>
      </c>
      <c r="F76" s="5">
        <f>ROUND(Source!Y49,O76)</f>
        <v>335.82</v>
      </c>
      <c r="G76" s="5" t="s">
        <v>123</v>
      </c>
      <c r="H76" s="5" t="s">
        <v>124</v>
      </c>
      <c r="I76" s="5"/>
      <c r="J76" s="5"/>
      <c r="K76" s="5">
        <v>211</v>
      </c>
      <c r="L76" s="5">
        <v>26</v>
      </c>
      <c r="M76" s="5">
        <v>3</v>
      </c>
      <c r="N76" s="5" t="s">
        <v>3</v>
      </c>
      <c r="O76" s="5">
        <v>2</v>
      </c>
      <c r="P76" s="5">
        <f>ROUND(Source!DQ49,O76)</f>
        <v>4895.09</v>
      </c>
      <c r="Q76" s="5"/>
      <c r="R76" s="5"/>
      <c r="S76" s="5"/>
      <c r="T76" s="5"/>
      <c r="U76" s="5"/>
      <c r="V76" s="5"/>
      <c r="W76" s="5"/>
    </row>
    <row r="77" spans="1:88" x14ac:dyDescent="0.2">
      <c r="A77" s="5">
        <v>50</v>
      </c>
      <c r="B77" s="5">
        <v>0</v>
      </c>
      <c r="C77" s="5">
        <v>0</v>
      </c>
      <c r="D77" s="5">
        <v>1</v>
      </c>
      <c r="E77" s="5">
        <v>224</v>
      </c>
      <c r="F77" s="5">
        <f>ROUND(Source!AR49,O77)</f>
        <v>14321.04</v>
      </c>
      <c r="G77" s="5" t="s">
        <v>125</v>
      </c>
      <c r="H77" s="5" t="s">
        <v>126</v>
      </c>
      <c r="I77" s="5"/>
      <c r="J77" s="5"/>
      <c r="K77" s="5">
        <v>224</v>
      </c>
      <c r="L77" s="5">
        <v>27</v>
      </c>
      <c r="M77" s="5">
        <v>3</v>
      </c>
      <c r="N77" s="5" t="s">
        <v>3</v>
      </c>
      <c r="O77" s="5">
        <v>2</v>
      </c>
      <c r="P77" s="5">
        <f>ROUND(Source!EJ49,O77)</f>
        <v>145807.94</v>
      </c>
      <c r="Q77" s="5"/>
      <c r="R77" s="5"/>
      <c r="S77" s="5"/>
      <c r="T77" s="5"/>
      <c r="U77" s="5"/>
      <c r="V77" s="5"/>
      <c r="W77" s="5"/>
    </row>
    <row r="79" spans="1:88" x14ac:dyDescent="0.2">
      <c r="A79" s="1">
        <v>4</v>
      </c>
      <c r="B79" s="1">
        <v>1</v>
      </c>
      <c r="C79" s="1"/>
      <c r="D79" s="1">
        <f>ROW(A112)</f>
        <v>112</v>
      </c>
      <c r="E79" s="1"/>
      <c r="F79" s="1" t="s">
        <v>13</v>
      </c>
      <c r="G79" s="1" t="s">
        <v>127</v>
      </c>
      <c r="H79" s="1" t="s">
        <v>3</v>
      </c>
      <c r="I79" s="1">
        <v>0</v>
      </c>
      <c r="J79" s="1"/>
      <c r="K79" s="1">
        <v>-1</v>
      </c>
      <c r="L79" s="1"/>
      <c r="M79" s="1"/>
      <c r="N79" s="1"/>
      <c r="O79" s="1"/>
      <c r="P79" s="1"/>
      <c r="Q79" s="1"/>
      <c r="R79" s="1"/>
      <c r="S79" s="1"/>
      <c r="T79" s="1"/>
      <c r="U79" s="1" t="s">
        <v>3</v>
      </c>
      <c r="V79" s="1">
        <v>0</v>
      </c>
      <c r="W79" s="1"/>
      <c r="X79" s="1"/>
      <c r="Y79" s="1"/>
      <c r="Z79" s="1"/>
      <c r="AA79" s="1"/>
      <c r="AB79" s="1" t="s">
        <v>3</v>
      </c>
      <c r="AC79" s="1" t="s">
        <v>3</v>
      </c>
      <c r="AD79" s="1" t="s">
        <v>3</v>
      </c>
      <c r="AE79" s="1" t="s">
        <v>3</v>
      </c>
      <c r="AF79" s="1" t="s">
        <v>3</v>
      </c>
      <c r="AG79" s="1" t="s">
        <v>3</v>
      </c>
      <c r="AH79" s="1"/>
      <c r="AI79" s="1"/>
      <c r="AJ79" s="1"/>
      <c r="AK79" s="1"/>
      <c r="AL79" s="1"/>
      <c r="AM79" s="1"/>
      <c r="AN79" s="1"/>
      <c r="AO79" s="1"/>
      <c r="AP79" s="1" t="s">
        <v>3</v>
      </c>
      <c r="AQ79" s="1" t="s">
        <v>3</v>
      </c>
      <c r="AR79" s="1" t="s">
        <v>3</v>
      </c>
      <c r="AS79" s="1"/>
      <c r="AT79" s="1"/>
      <c r="AU79" s="1"/>
      <c r="AV79" s="1"/>
      <c r="AW79" s="1"/>
      <c r="AX79" s="1"/>
      <c r="AY79" s="1"/>
      <c r="AZ79" s="1" t="s">
        <v>3</v>
      </c>
      <c r="BA79" s="1"/>
      <c r="BB79" s="1" t="s">
        <v>3</v>
      </c>
      <c r="BC79" s="1" t="s">
        <v>3</v>
      </c>
      <c r="BD79" s="1" t="s">
        <v>3</v>
      </c>
      <c r="BE79" s="1" t="s">
        <v>3</v>
      </c>
      <c r="BF79" s="1" t="s">
        <v>3</v>
      </c>
      <c r="BG79" s="1" t="s">
        <v>3</v>
      </c>
      <c r="BH79" s="1" t="s">
        <v>3</v>
      </c>
      <c r="BI79" s="1" t="s">
        <v>3</v>
      </c>
      <c r="BJ79" s="1" t="s">
        <v>3</v>
      </c>
      <c r="BK79" s="1" t="s">
        <v>3</v>
      </c>
      <c r="BL79" s="1" t="s">
        <v>3</v>
      </c>
      <c r="BM79" s="1" t="s">
        <v>3</v>
      </c>
      <c r="BN79" s="1" t="s">
        <v>3</v>
      </c>
      <c r="BO79" s="1" t="s">
        <v>3</v>
      </c>
      <c r="BP79" s="1" t="s">
        <v>3</v>
      </c>
      <c r="BQ79" s="1"/>
      <c r="BR79" s="1"/>
      <c r="BS79" s="1"/>
      <c r="BT79" s="1"/>
      <c r="BU79" s="1"/>
      <c r="BV79" s="1"/>
      <c r="BW79" s="1"/>
      <c r="BX79" s="1">
        <v>0</v>
      </c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>
        <v>0</v>
      </c>
    </row>
    <row r="81" spans="1:255" x14ac:dyDescent="0.2">
      <c r="A81" s="3">
        <v>52</v>
      </c>
      <c r="B81" s="3">
        <f t="shared" ref="B81:G81" si="67">B112</f>
        <v>1</v>
      </c>
      <c r="C81" s="3">
        <f t="shared" si="67"/>
        <v>4</v>
      </c>
      <c r="D81" s="3">
        <f t="shared" si="67"/>
        <v>79</v>
      </c>
      <c r="E81" s="3">
        <f t="shared" si="67"/>
        <v>0</v>
      </c>
      <c r="F81" s="3" t="str">
        <f t="shared" si="67"/>
        <v>Новый раздел</v>
      </c>
      <c r="G81" s="3" t="str">
        <f t="shared" si="67"/>
        <v>Замена бортового гранитного камня</v>
      </c>
      <c r="H81" s="3"/>
      <c r="I81" s="3"/>
      <c r="J81" s="3"/>
      <c r="K81" s="3"/>
      <c r="L81" s="3"/>
      <c r="M81" s="3"/>
      <c r="N81" s="3"/>
      <c r="O81" s="3">
        <f t="shared" ref="O81:AT81" si="68">O112</f>
        <v>274775.74</v>
      </c>
      <c r="P81" s="3">
        <f t="shared" si="68"/>
        <v>269084.11</v>
      </c>
      <c r="Q81" s="3">
        <f t="shared" si="68"/>
        <v>2679.13</v>
      </c>
      <c r="R81" s="3">
        <f t="shared" si="68"/>
        <v>66.38</v>
      </c>
      <c r="S81" s="3">
        <f t="shared" si="68"/>
        <v>3012.5</v>
      </c>
      <c r="T81" s="3">
        <f t="shared" si="68"/>
        <v>0</v>
      </c>
      <c r="U81" s="3">
        <f t="shared" si="68"/>
        <v>262.7554068</v>
      </c>
      <c r="V81" s="3">
        <f t="shared" si="68"/>
        <v>0</v>
      </c>
      <c r="W81" s="3">
        <f t="shared" si="68"/>
        <v>0</v>
      </c>
      <c r="X81" s="3">
        <f t="shared" si="68"/>
        <v>3857.52</v>
      </c>
      <c r="Y81" s="3">
        <f t="shared" si="68"/>
        <v>2519.4</v>
      </c>
      <c r="Z81" s="3">
        <f t="shared" si="68"/>
        <v>0</v>
      </c>
      <c r="AA81" s="3">
        <f t="shared" si="68"/>
        <v>0</v>
      </c>
      <c r="AB81" s="3">
        <f t="shared" si="68"/>
        <v>274775.74</v>
      </c>
      <c r="AC81" s="3">
        <f t="shared" si="68"/>
        <v>269084.11</v>
      </c>
      <c r="AD81" s="3">
        <f t="shared" si="68"/>
        <v>2679.13</v>
      </c>
      <c r="AE81" s="3">
        <f t="shared" si="68"/>
        <v>66.38</v>
      </c>
      <c r="AF81" s="3">
        <f t="shared" si="68"/>
        <v>3012.5</v>
      </c>
      <c r="AG81" s="3">
        <f t="shared" si="68"/>
        <v>0</v>
      </c>
      <c r="AH81" s="3">
        <f t="shared" si="68"/>
        <v>262.7554068</v>
      </c>
      <c r="AI81" s="3">
        <f t="shared" si="68"/>
        <v>0</v>
      </c>
      <c r="AJ81" s="3">
        <f t="shared" si="68"/>
        <v>0</v>
      </c>
      <c r="AK81" s="3">
        <f t="shared" si="68"/>
        <v>3857.52</v>
      </c>
      <c r="AL81" s="3">
        <f t="shared" si="68"/>
        <v>2519.4</v>
      </c>
      <c r="AM81" s="3">
        <f t="shared" si="68"/>
        <v>0</v>
      </c>
      <c r="AN81" s="3">
        <f t="shared" si="68"/>
        <v>0</v>
      </c>
      <c r="AO81" s="3">
        <f t="shared" si="68"/>
        <v>0</v>
      </c>
      <c r="AP81" s="3">
        <f t="shared" si="68"/>
        <v>0</v>
      </c>
      <c r="AQ81" s="3">
        <f t="shared" si="68"/>
        <v>0</v>
      </c>
      <c r="AR81" s="3">
        <f t="shared" si="68"/>
        <v>281268.84000000003</v>
      </c>
      <c r="AS81" s="3">
        <f t="shared" si="68"/>
        <v>279063.43</v>
      </c>
      <c r="AT81" s="3">
        <f t="shared" si="68"/>
        <v>0</v>
      </c>
      <c r="AU81" s="3">
        <f t="shared" ref="AU81:BZ81" si="69">AU112</f>
        <v>2205.41</v>
      </c>
      <c r="AV81" s="3">
        <f t="shared" si="69"/>
        <v>269084.11</v>
      </c>
      <c r="AW81" s="3">
        <f t="shared" si="69"/>
        <v>269084.11</v>
      </c>
      <c r="AX81" s="3">
        <f t="shared" si="69"/>
        <v>0</v>
      </c>
      <c r="AY81" s="3">
        <f t="shared" si="69"/>
        <v>269084.11</v>
      </c>
      <c r="AZ81" s="3">
        <f t="shared" si="69"/>
        <v>0</v>
      </c>
      <c r="BA81" s="3">
        <f t="shared" si="69"/>
        <v>0</v>
      </c>
      <c r="BB81" s="3">
        <f t="shared" si="69"/>
        <v>0</v>
      </c>
      <c r="BC81" s="3">
        <f t="shared" si="69"/>
        <v>0</v>
      </c>
      <c r="BD81" s="3">
        <f t="shared" si="69"/>
        <v>0</v>
      </c>
      <c r="BE81" s="3">
        <f t="shared" si="69"/>
        <v>0</v>
      </c>
      <c r="BF81" s="3">
        <f t="shared" si="69"/>
        <v>0</v>
      </c>
      <c r="BG81" s="3">
        <f t="shared" si="69"/>
        <v>0</v>
      </c>
      <c r="BH81" s="3">
        <f t="shared" si="69"/>
        <v>0</v>
      </c>
      <c r="BI81" s="3">
        <f t="shared" si="69"/>
        <v>0</v>
      </c>
      <c r="BJ81" s="3">
        <f t="shared" si="69"/>
        <v>0</v>
      </c>
      <c r="BK81" s="3">
        <f t="shared" si="69"/>
        <v>0</v>
      </c>
      <c r="BL81" s="3">
        <f t="shared" si="69"/>
        <v>0</v>
      </c>
      <c r="BM81" s="3">
        <f t="shared" si="69"/>
        <v>0</v>
      </c>
      <c r="BN81" s="3">
        <f t="shared" si="69"/>
        <v>0</v>
      </c>
      <c r="BO81" s="3">
        <f t="shared" si="69"/>
        <v>0</v>
      </c>
      <c r="BP81" s="3">
        <f t="shared" si="69"/>
        <v>0</v>
      </c>
      <c r="BQ81" s="3">
        <f t="shared" si="69"/>
        <v>0</v>
      </c>
      <c r="BR81" s="3">
        <f t="shared" si="69"/>
        <v>0</v>
      </c>
      <c r="BS81" s="3">
        <f t="shared" si="69"/>
        <v>0</v>
      </c>
      <c r="BT81" s="3">
        <f t="shared" si="69"/>
        <v>0</v>
      </c>
      <c r="BU81" s="3">
        <f t="shared" si="69"/>
        <v>0</v>
      </c>
      <c r="BV81" s="3">
        <f t="shared" si="69"/>
        <v>0</v>
      </c>
      <c r="BW81" s="3">
        <f t="shared" si="69"/>
        <v>0</v>
      </c>
      <c r="BX81" s="3">
        <f t="shared" si="69"/>
        <v>0</v>
      </c>
      <c r="BY81" s="3">
        <f t="shared" si="69"/>
        <v>0</v>
      </c>
      <c r="BZ81" s="3">
        <f t="shared" si="69"/>
        <v>0</v>
      </c>
      <c r="CA81" s="3">
        <f t="shared" ref="CA81:DF81" si="70">CA112</f>
        <v>281268.84000000003</v>
      </c>
      <c r="CB81" s="3">
        <f t="shared" si="70"/>
        <v>279063.43</v>
      </c>
      <c r="CC81" s="3">
        <f t="shared" si="70"/>
        <v>0</v>
      </c>
      <c r="CD81" s="3">
        <f t="shared" si="70"/>
        <v>2205.41</v>
      </c>
      <c r="CE81" s="3">
        <f t="shared" si="70"/>
        <v>269084.11</v>
      </c>
      <c r="CF81" s="3">
        <f t="shared" si="70"/>
        <v>269084.11</v>
      </c>
      <c r="CG81" s="3">
        <f t="shared" si="70"/>
        <v>0</v>
      </c>
      <c r="CH81" s="3">
        <f t="shared" si="70"/>
        <v>269084.11</v>
      </c>
      <c r="CI81" s="3">
        <f t="shared" si="70"/>
        <v>0</v>
      </c>
      <c r="CJ81" s="3">
        <f t="shared" si="70"/>
        <v>0</v>
      </c>
      <c r="CK81" s="3">
        <f t="shared" si="70"/>
        <v>0</v>
      </c>
      <c r="CL81" s="3">
        <f t="shared" si="70"/>
        <v>0</v>
      </c>
      <c r="CM81" s="3">
        <f t="shared" si="70"/>
        <v>0</v>
      </c>
      <c r="CN81" s="3">
        <f t="shared" si="70"/>
        <v>0</v>
      </c>
      <c r="CO81" s="3">
        <f t="shared" si="70"/>
        <v>0</v>
      </c>
      <c r="CP81" s="3">
        <f t="shared" si="70"/>
        <v>0</v>
      </c>
      <c r="CQ81" s="3">
        <f t="shared" si="70"/>
        <v>0</v>
      </c>
      <c r="CR81" s="3">
        <f t="shared" si="70"/>
        <v>0</v>
      </c>
      <c r="CS81" s="3">
        <f t="shared" si="70"/>
        <v>0</v>
      </c>
      <c r="CT81" s="3">
        <f t="shared" si="70"/>
        <v>0</v>
      </c>
      <c r="CU81" s="3">
        <f t="shared" si="70"/>
        <v>0</v>
      </c>
      <c r="CV81" s="3">
        <f t="shared" si="70"/>
        <v>0</v>
      </c>
      <c r="CW81" s="3">
        <f t="shared" si="70"/>
        <v>0</v>
      </c>
      <c r="CX81" s="3">
        <f t="shared" si="70"/>
        <v>0</v>
      </c>
      <c r="CY81" s="3">
        <f t="shared" si="70"/>
        <v>0</v>
      </c>
      <c r="CZ81" s="3">
        <f t="shared" si="70"/>
        <v>0</v>
      </c>
      <c r="DA81" s="3">
        <f t="shared" si="70"/>
        <v>0</v>
      </c>
      <c r="DB81" s="3">
        <f t="shared" si="70"/>
        <v>0</v>
      </c>
      <c r="DC81" s="3">
        <f t="shared" si="70"/>
        <v>0</v>
      </c>
      <c r="DD81" s="3">
        <f t="shared" si="70"/>
        <v>0</v>
      </c>
      <c r="DE81" s="3">
        <f t="shared" si="70"/>
        <v>0</v>
      </c>
      <c r="DF81" s="3">
        <f t="shared" si="70"/>
        <v>0</v>
      </c>
      <c r="DG81" s="4">
        <f t="shared" ref="DG81:EL81" si="71">DG112</f>
        <v>731449.28</v>
      </c>
      <c r="DH81" s="4">
        <f t="shared" si="71"/>
        <v>630393.16</v>
      </c>
      <c r="DI81" s="4">
        <f t="shared" si="71"/>
        <v>25351.99</v>
      </c>
      <c r="DJ81" s="4">
        <f t="shared" si="71"/>
        <v>1668.14</v>
      </c>
      <c r="DK81" s="4">
        <f t="shared" si="71"/>
        <v>75704.13</v>
      </c>
      <c r="DL81" s="4">
        <f t="shared" si="71"/>
        <v>0</v>
      </c>
      <c r="DM81" s="4">
        <f t="shared" si="71"/>
        <v>262.7554068</v>
      </c>
      <c r="DN81" s="4">
        <f t="shared" si="71"/>
        <v>0</v>
      </c>
      <c r="DO81" s="4">
        <f t="shared" si="71"/>
        <v>0</v>
      </c>
      <c r="DP81" s="4">
        <f t="shared" si="71"/>
        <v>78736.649999999994</v>
      </c>
      <c r="DQ81" s="4">
        <f t="shared" si="71"/>
        <v>34655.18</v>
      </c>
      <c r="DR81" s="4">
        <f t="shared" si="71"/>
        <v>0</v>
      </c>
      <c r="DS81" s="4">
        <f t="shared" si="71"/>
        <v>0</v>
      </c>
      <c r="DT81" s="4">
        <f t="shared" si="71"/>
        <v>731449.28</v>
      </c>
      <c r="DU81" s="4">
        <f t="shared" si="71"/>
        <v>630393.16</v>
      </c>
      <c r="DV81" s="4">
        <f t="shared" si="71"/>
        <v>25351.99</v>
      </c>
      <c r="DW81" s="4">
        <f t="shared" si="71"/>
        <v>1668.14</v>
      </c>
      <c r="DX81" s="4">
        <f t="shared" si="71"/>
        <v>75704.13</v>
      </c>
      <c r="DY81" s="4">
        <f t="shared" si="71"/>
        <v>0</v>
      </c>
      <c r="DZ81" s="4">
        <f t="shared" si="71"/>
        <v>262.7554068</v>
      </c>
      <c r="EA81" s="4">
        <f t="shared" si="71"/>
        <v>0</v>
      </c>
      <c r="EB81" s="4">
        <f t="shared" si="71"/>
        <v>0</v>
      </c>
      <c r="EC81" s="4">
        <f t="shared" si="71"/>
        <v>78736.649999999994</v>
      </c>
      <c r="ED81" s="4">
        <f t="shared" si="71"/>
        <v>34655.18</v>
      </c>
      <c r="EE81" s="4">
        <f t="shared" si="71"/>
        <v>0</v>
      </c>
      <c r="EF81" s="4">
        <f t="shared" si="71"/>
        <v>0</v>
      </c>
      <c r="EG81" s="4">
        <f t="shared" si="71"/>
        <v>0</v>
      </c>
      <c r="EH81" s="4">
        <f t="shared" si="71"/>
        <v>0</v>
      </c>
      <c r="EI81" s="4">
        <f t="shared" si="71"/>
        <v>0</v>
      </c>
      <c r="EJ81" s="4">
        <f t="shared" si="71"/>
        <v>847460.08</v>
      </c>
      <c r="EK81" s="4">
        <f t="shared" si="71"/>
        <v>826340.74</v>
      </c>
      <c r="EL81" s="4">
        <f t="shared" si="71"/>
        <v>0</v>
      </c>
      <c r="EM81" s="4">
        <f t="shared" ref="EM81:FR81" si="72">EM112</f>
        <v>21119.34</v>
      </c>
      <c r="EN81" s="4">
        <f t="shared" si="72"/>
        <v>630393.16</v>
      </c>
      <c r="EO81" s="4">
        <f t="shared" si="72"/>
        <v>630393.16</v>
      </c>
      <c r="EP81" s="4">
        <f t="shared" si="72"/>
        <v>0</v>
      </c>
      <c r="EQ81" s="4">
        <f t="shared" si="72"/>
        <v>630393.16</v>
      </c>
      <c r="ER81" s="4">
        <f t="shared" si="72"/>
        <v>0</v>
      </c>
      <c r="ES81" s="4">
        <f t="shared" si="72"/>
        <v>0</v>
      </c>
      <c r="ET81" s="4">
        <f t="shared" si="72"/>
        <v>0</v>
      </c>
      <c r="EU81" s="4">
        <f t="shared" si="72"/>
        <v>0</v>
      </c>
      <c r="EV81" s="4">
        <f t="shared" si="72"/>
        <v>0</v>
      </c>
      <c r="EW81" s="4">
        <f t="shared" si="72"/>
        <v>0</v>
      </c>
      <c r="EX81" s="4">
        <f t="shared" si="72"/>
        <v>0</v>
      </c>
      <c r="EY81" s="4">
        <f t="shared" si="72"/>
        <v>0</v>
      </c>
      <c r="EZ81" s="4">
        <f t="shared" si="72"/>
        <v>0</v>
      </c>
      <c r="FA81" s="4">
        <f t="shared" si="72"/>
        <v>0</v>
      </c>
      <c r="FB81" s="4">
        <f t="shared" si="72"/>
        <v>0</v>
      </c>
      <c r="FC81" s="4">
        <f t="shared" si="72"/>
        <v>0</v>
      </c>
      <c r="FD81" s="4">
        <f t="shared" si="72"/>
        <v>0</v>
      </c>
      <c r="FE81" s="4">
        <f t="shared" si="72"/>
        <v>0</v>
      </c>
      <c r="FF81" s="4">
        <f t="shared" si="72"/>
        <v>0</v>
      </c>
      <c r="FG81" s="4">
        <f t="shared" si="72"/>
        <v>0</v>
      </c>
      <c r="FH81" s="4">
        <f t="shared" si="72"/>
        <v>0</v>
      </c>
      <c r="FI81" s="4">
        <f t="shared" si="72"/>
        <v>0</v>
      </c>
      <c r="FJ81" s="4">
        <f t="shared" si="72"/>
        <v>0</v>
      </c>
      <c r="FK81" s="4">
        <f t="shared" si="72"/>
        <v>0</v>
      </c>
      <c r="FL81" s="4">
        <f t="shared" si="72"/>
        <v>0</v>
      </c>
      <c r="FM81" s="4">
        <f t="shared" si="72"/>
        <v>0</v>
      </c>
      <c r="FN81" s="4">
        <f t="shared" si="72"/>
        <v>0</v>
      </c>
      <c r="FO81" s="4">
        <f t="shared" si="72"/>
        <v>0</v>
      </c>
      <c r="FP81" s="4">
        <f t="shared" si="72"/>
        <v>0</v>
      </c>
      <c r="FQ81" s="4">
        <f t="shared" si="72"/>
        <v>0</v>
      </c>
      <c r="FR81" s="4">
        <f t="shared" si="72"/>
        <v>0</v>
      </c>
      <c r="FS81" s="4">
        <f t="shared" ref="FS81:GX81" si="73">FS112</f>
        <v>847460.08</v>
      </c>
      <c r="FT81" s="4">
        <f t="shared" si="73"/>
        <v>826340.74</v>
      </c>
      <c r="FU81" s="4">
        <f t="shared" si="73"/>
        <v>0</v>
      </c>
      <c r="FV81" s="4">
        <f t="shared" si="73"/>
        <v>21119.34</v>
      </c>
      <c r="FW81" s="4">
        <f t="shared" si="73"/>
        <v>630393.16</v>
      </c>
      <c r="FX81" s="4">
        <f t="shared" si="73"/>
        <v>630393.16</v>
      </c>
      <c r="FY81" s="4">
        <f t="shared" si="73"/>
        <v>0</v>
      </c>
      <c r="FZ81" s="4">
        <f t="shared" si="73"/>
        <v>630393.16</v>
      </c>
      <c r="GA81" s="4">
        <f t="shared" si="73"/>
        <v>0</v>
      </c>
      <c r="GB81" s="4">
        <f t="shared" si="73"/>
        <v>0</v>
      </c>
      <c r="GC81" s="4">
        <f t="shared" si="73"/>
        <v>0</v>
      </c>
      <c r="GD81" s="4">
        <f t="shared" si="73"/>
        <v>0</v>
      </c>
      <c r="GE81" s="4">
        <f t="shared" si="73"/>
        <v>0</v>
      </c>
      <c r="GF81" s="4">
        <f t="shared" si="73"/>
        <v>0</v>
      </c>
      <c r="GG81" s="4">
        <f t="shared" si="73"/>
        <v>0</v>
      </c>
      <c r="GH81" s="4">
        <f t="shared" si="73"/>
        <v>0</v>
      </c>
      <c r="GI81" s="4">
        <f t="shared" si="73"/>
        <v>0</v>
      </c>
      <c r="GJ81" s="4">
        <f t="shared" si="73"/>
        <v>0</v>
      </c>
      <c r="GK81" s="4">
        <f t="shared" si="73"/>
        <v>0</v>
      </c>
      <c r="GL81" s="4">
        <f t="shared" si="73"/>
        <v>0</v>
      </c>
      <c r="GM81" s="4">
        <f t="shared" si="73"/>
        <v>0</v>
      </c>
      <c r="GN81" s="4">
        <f t="shared" si="73"/>
        <v>0</v>
      </c>
      <c r="GO81" s="4">
        <f t="shared" si="73"/>
        <v>0</v>
      </c>
      <c r="GP81" s="4">
        <f t="shared" si="73"/>
        <v>0</v>
      </c>
      <c r="GQ81" s="4">
        <f t="shared" si="73"/>
        <v>0</v>
      </c>
      <c r="GR81" s="4">
        <f t="shared" si="73"/>
        <v>0</v>
      </c>
      <c r="GS81" s="4">
        <f t="shared" si="73"/>
        <v>0</v>
      </c>
      <c r="GT81" s="4">
        <f t="shared" si="73"/>
        <v>0</v>
      </c>
      <c r="GU81" s="4">
        <f t="shared" si="73"/>
        <v>0</v>
      </c>
      <c r="GV81" s="4">
        <f t="shared" si="73"/>
        <v>0</v>
      </c>
      <c r="GW81" s="4">
        <f t="shared" si="73"/>
        <v>0</v>
      </c>
      <c r="GX81" s="4">
        <f t="shared" si="73"/>
        <v>0</v>
      </c>
    </row>
    <row r="83" spans="1:255" x14ac:dyDescent="0.2">
      <c r="A83" s="2">
        <v>17</v>
      </c>
      <c r="B83" s="2">
        <v>1</v>
      </c>
      <c r="C83" s="2">
        <f>ROW(SmtRes!A35)</f>
        <v>35</v>
      </c>
      <c r="D83" s="2">
        <f>ROW(EtalonRes!A35)</f>
        <v>35</v>
      </c>
      <c r="E83" s="2" t="s">
        <v>128</v>
      </c>
      <c r="F83" s="2" t="s">
        <v>129</v>
      </c>
      <c r="G83" s="2" t="s">
        <v>130</v>
      </c>
      <c r="H83" s="2" t="s">
        <v>131</v>
      </c>
      <c r="I83" s="2">
        <f>ROUND(102/100,9)</f>
        <v>1.02</v>
      </c>
      <c r="J83" s="2">
        <v>0</v>
      </c>
      <c r="K83" s="2"/>
      <c r="L83" s="2"/>
      <c r="M83" s="2"/>
      <c r="N83" s="2"/>
      <c r="O83" s="2">
        <f t="shared" ref="O83:O110" si="74">ROUND(CP83,2)</f>
        <v>874.66</v>
      </c>
      <c r="P83" s="2">
        <f t="shared" ref="P83:P110" si="75">ROUND((ROUND((AC83*AW83*I83),2)*BC83),2)</f>
        <v>0</v>
      </c>
      <c r="Q83" s="2">
        <f t="shared" ref="Q83:Q110" si="76">(ROUND((ROUND(((ET83)*AV83*I83),2)*BB83),2)+ROUND((ROUND(((AE83-(EU83))*AV83*I83),2)*BS83),2))</f>
        <v>0</v>
      </c>
      <c r="R83" s="2">
        <f t="shared" ref="R83:R110" si="77">ROUND((ROUND((AE83*AV83*I83),2)*BS83),2)</f>
        <v>0</v>
      </c>
      <c r="S83" s="2">
        <f t="shared" ref="S83:S110" si="78">ROUND((ROUND((AF83*AV83*I83),2)*BA83),2)</f>
        <v>874.66</v>
      </c>
      <c r="T83" s="2">
        <f t="shared" ref="T83:T110" si="79">ROUND(CU83*I83,2)</f>
        <v>0</v>
      </c>
      <c r="U83" s="2">
        <f t="shared" ref="U83:U110" si="80">CV83*I83</f>
        <v>78.234000000000009</v>
      </c>
      <c r="V83" s="2">
        <f t="shared" ref="V83:V110" si="81">CW83*I83</f>
        <v>0</v>
      </c>
      <c r="W83" s="2">
        <f t="shared" ref="W83:W110" si="82">ROUND(CX83*I83,2)</f>
        <v>0</v>
      </c>
      <c r="X83" s="2">
        <f t="shared" ref="X83:X110" si="83">ROUND(CY83,2)</f>
        <v>699.73</v>
      </c>
      <c r="Y83" s="2">
        <f t="shared" ref="Y83:Y110" si="84">ROUND(CZ83,2)</f>
        <v>481.06</v>
      </c>
      <c r="Z83" s="2"/>
      <c r="AA83" s="2">
        <v>45748053</v>
      </c>
      <c r="AB83" s="2">
        <f t="shared" ref="AB83:AB110" si="85">ROUND((AC83+AD83+AF83),6)</f>
        <v>857.51</v>
      </c>
      <c r="AC83" s="2">
        <f t="shared" ref="AC83:AC102" si="86">ROUND((ES83),6)</f>
        <v>0</v>
      </c>
      <c r="AD83" s="2">
        <f t="shared" ref="AD83:AD110" si="87">ROUND((((ET83)-(EU83))+AE83),6)</f>
        <v>0</v>
      </c>
      <c r="AE83" s="2">
        <f t="shared" ref="AE83:AE110" si="88">ROUND((EU83),6)</f>
        <v>0</v>
      </c>
      <c r="AF83" s="2">
        <f t="shared" ref="AF83:AF110" si="89">ROUND((EV83),6)</f>
        <v>857.51</v>
      </c>
      <c r="AG83" s="2">
        <f t="shared" ref="AG83:AG110" si="90">ROUND((AP83),6)</f>
        <v>0</v>
      </c>
      <c r="AH83" s="2">
        <f t="shared" ref="AH83:AH110" si="91">(EW83)</f>
        <v>76.7</v>
      </c>
      <c r="AI83" s="2">
        <f t="shared" ref="AI83:AI110" si="92">(EX83)</f>
        <v>0</v>
      </c>
      <c r="AJ83" s="2">
        <f t="shared" ref="AJ83:AJ110" si="93">(AS83)</f>
        <v>0</v>
      </c>
      <c r="AK83" s="2">
        <v>857.51</v>
      </c>
      <c r="AL83" s="2">
        <v>0</v>
      </c>
      <c r="AM83" s="2">
        <v>0</v>
      </c>
      <c r="AN83" s="2">
        <v>0</v>
      </c>
      <c r="AO83" s="2">
        <v>857.51</v>
      </c>
      <c r="AP83" s="2">
        <v>0</v>
      </c>
      <c r="AQ83" s="2">
        <v>76.7</v>
      </c>
      <c r="AR83" s="2">
        <v>0</v>
      </c>
      <c r="AS83" s="2">
        <v>0</v>
      </c>
      <c r="AT83" s="2">
        <v>80</v>
      </c>
      <c r="AU83" s="2">
        <v>55</v>
      </c>
      <c r="AV83" s="2">
        <v>1</v>
      </c>
      <c r="AW83" s="2">
        <v>1</v>
      </c>
      <c r="AX83" s="2"/>
      <c r="AY83" s="2"/>
      <c r="AZ83" s="2">
        <v>1</v>
      </c>
      <c r="BA83" s="2">
        <v>1</v>
      </c>
      <c r="BB83" s="2">
        <v>1</v>
      </c>
      <c r="BC83" s="2">
        <v>1</v>
      </c>
      <c r="BD83" s="2" t="s">
        <v>3</v>
      </c>
      <c r="BE83" s="2" t="s">
        <v>3</v>
      </c>
      <c r="BF83" s="2" t="s">
        <v>3</v>
      </c>
      <c r="BG83" s="2" t="s">
        <v>3</v>
      </c>
      <c r="BH83" s="2">
        <v>0</v>
      </c>
      <c r="BI83" s="2">
        <v>1</v>
      </c>
      <c r="BJ83" s="2" t="s">
        <v>132</v>
      </c>
      <c r="BK83" s="2"/>
      <c r="BL83" s="2"/>
      <c r="BM83" s="2">
        <v>674</v>
      </c>
      <c r="BN83" s="2">
        <v>0</v>
      </c>
      <c r="BO83" s="2" t="s">
        <v>3</v>
      </c>
      <c r="BP83" s="2">
        <v>0</v>
      </c>
      <c r="BQ83" s="2">
        <v>60</v>
      </c>
      <c r="BR83" s="2">
        <v>0</v>
      </c>
      <c r="BS83" s="2">
        <v>1</v>
      </c>
      <c r="BT83" s="2">
        <v>1</v>
      </c>
      <c r="BU83" s="2">
        <v>1</v>
      </c>
      <c r="BV83" s="2">
        <v>1</v>
      </c>
      <c r="BW83" s="2">
        <v>1</v>
      </c>
      <c r="BX83" s="2">
        <v>1</v>
      </c>
      <c r="BY83" s="2" t="s">
        <v>3</v>
      </c>
      <c r="BZ83" s="2">
        <v>80</v>
      </c>
      <c r="CA83" s="2">
        <v>55</v>
      </c>
      <c r="CB83" s="2"/>
      <c r="CC83" s="2"/>
      <c r="CD83" s="2"/>
      <c r="CE83" s="2">
        <v>30</v>
      </c>
      <c r="CF83" s="2">
        <v>0</v>
      </c>
      <c r="CG83" s="2">
        <v>0</v>
      </c>
      <c r="CH83" s="2"/>
      <c r="CI83" s="2"/>
      <c r="CJ83" s="2"/>
      <c r="CK83" s="2"/>
      <c r="CL83" s="2"/>
      <c r="CM83" s="2">
        <v>0</v>
      </c>
      <c r="CN83" s="2" t="s">
        <v>3</v>
      </c>
      <c r="CO83" s="2">
        <v>0</v>
      </c>
      <c r="CP83" s="2">
        <f t="shared" ref="CP83:CP110" si="94">(P83+Q83+S83)</f>
        <v>874.66</v>
      </c>
      <c r="CQ83" s="2">
        <f t="shared" ref="CQ83:CQ110" si="95">ROUND((ROUND((AC83*AW83*1),2)*BC83),2)</f>
        <v>0</v>
      </c>
      <c r="CR83" s="2">
        <f t="shared" ref="CR83:CR110" si="96">(ROUND((ROUND(((ET83)*AV83*1),2)*BB83),2)+ROUND((ROUND(((AE83-(EU83))*AV83*1),2)*BS83),2))</f>
        <v>0</v>
      </c>
      <c r="CS83" s="2">
        <f t="shared" ref="CS83:CS110" si="97">ROUND((ROUND((AE83*AV83*1),2)*BS83),2)</f>
        <v>0</v>
      </c>
      <c r="CT83" s="2">
        <f t="shared" ref="CT83:CT110" si="98">ROUND((ROUND((AF83*AV83*1),2)*BA83),2)</f>
        <v>857.51</v>
      </c>
      <c r="CU83" s="2">
        <f t="shared" ref="CU83:CU110" si="99">AG83</f>
        <v>0</v>
      </c>
      <c r="CV83" s="2">
        <f t="shared" ref="CV83:CV110" si="100">(AH83*AV83)</f>
        <v>76.7</v>
      </c>
      <c r="CW83" s="2">
        <f t="shared" ref="CW83:CW110" si="101">AI83</f>
        <v>0</v>
      </c>
      <c r="CX83" s="2">
        <f t="shared" ref="CX83:CX110" si="102">AJ83</f>
        <v>0</v>
      </c>
      <c r="CY83" s="2">
        <f>((S83*BZ83)/100)</f>
        <v>699.72800000000007</v>
      </c>
      <c r="CZ83" s="2">
        <f>((S83*CA83)/100)</f>
        <v>481.06299999999993</v>
      </c>
      <c r="DA83" s="2"/>
      <c r="DB83" s="2"/>
      <c r="DC83" s="2" t="s">
        <v>3</v>
      </c>
      <c r="DD83" s="2" t="s">
        <v>3</v>
      </c>
      <c r="DE83" s="2" t="s">
        <v>3</v>
      </c>
      <c r="DF83" s="2" t="s">
        <v>3</v>
      </c>
      <c r="DG83" s="2" t="s">
        <v>3</v>
      </c>
      <c r="DH83" s="2" t="s">
        <v>3</v>
      </c>
      <c r="DI83" s="2" t="s">
        <v>3</v>
      </c>
      <c r="DJ83" s="2" t="s">
        <v>3</v>
      </c>
      <c r="DK83" s="2" t="s">
        <v>3</v>
      </c>
      <c r="DL83" s="2" t="s">
        <v>3</v>
      </c>
      <c r="DM83" s="2" t="s">
        <v>3</v>
      </c>
      <c r="DN83" s="2">
        <v>0</v>
      </c>
      <c r="DO83" s="2">
        <v>0</v>
      </c>
      <c r="DP83" s="2">
        <v>1</v>
      </c>
      <c r="DQ83" s="2">
        <v>1</v>
      </c>
      <c r="DR83" s="2"/>
      <c r="DS83" s="2"/>
      <c r="DT83" s="2"/>
      <c r="DU83" s="2">
        <v>1003</v>
      </c>
      <c r="DV83" s="2" t="s">
        <v>131</v>
      </c>
      <c r="DW83" s="2" t="s">
        <v>131</v>
      </c>
      <c r="DX83" s="2">
        <v>100</v>
      </c>
      <c r="DY83" s="2"/>
      <c r="DZ83" s="2"/>
      <c r="EA83" s="2"/>
      <c r="EB83" s="2"/>
      <c r="EC83" s="2"/>
      <c r="ED83" s="2"/>
      <c r="EE83" s="2">
        <v>45707134</v>
      </c>
      <c r="EF83" s="2">
        <v>60</v>
      </c>
      <c r="EG83" s="2" t="s">
        <v>25</v>
      </c>
      <c r="EH83" s="2">
        <v>0</v>
      </c>
      <c r="EI83" s="2" t="s">
        <v>3</v>
      </c>
      <c r="EJ83" s="2">
        <v>1</v>
      </c>
      <c r="EK83" s="2">
        <v>674</v>
      </c>
      <c r="EL83" s="2" t="s">
        <v>26</v>
      </c>
      <c r="EM83" s="2" t="s">
        <v>27</v>
      </c>
      <c r="EN83" s="2"/>
      <c r="EO83" s="2" t="s">
        <v>3</v>
      </c>
      <c r="EP83" s="2"/>
      <c r="EQ83" s="2">
        <v>0</v>
      </c>
      <c r="ER83" s="2">
        <v>857.51</v>
      </c>
      <c r="ES83" s="2">
        <v>0</v>
      </c>
      <c r="ET83" s="2">
        <v>0</v>
      </c>
      <c r="EU83" s="2">
        <v>0</v>
      </c>
      <c r="EV83" s="2">
        <v>857.51</v>
      </c>
      <c r="EW83" s="2">
        <v>76.7</v>
      </c>
      <c r="EX83" s="2">
        <v>0</v>
      </c>
      <c r="EY83" s="2">
        <v>0</v>
      </c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>
        <v>0</v>
      </c>
      <c r="FR83" s="2">
        <f t="shared" ref="FR83:FR110" si="103">ROUND(IF(AND(BH83=3,BI83=3),P83,0),2)</f>
        <v>0</v>
      </c>
      <c r="FS83" s="2">
        <v>0</v>
      </c>
      <c r="FT83" s="2"/>
      <c r="FU83" s="2"/>
      <c r="FV83" s="2"/>
      <c r="FW83" s="2"/>
      <c r="FX83" s="2">
        <v>80</v>
      </c>
      <c r="FY83" s="2">
        <v>55</v>
      </c>
      <c r="FZ83" s="2"/>
      <c r="GA83" s="2" t="s">
        <v>3</v>
      </c>
      <c r="GB83" s="2"/>
      <c r="GC83" s="2"/>
      <c r="GD83" s="2">
        <v>0</v>
      </c>
      <c r="GE83" s="2"/>
      <c r="GF83" s="2">
        <v>-306614759</v>
      </c>
      <c r="GG83" s="2">
        <v>2</v>
      </c>
      <c r="GH83" s="2">
        <v>1</v>
      </c>
      <c r="GI83" s="2">
        <v>-2</v>
      </c>
      <c r="GJ83" s="2">
        <v>0</v>
      </c>
      <c r="GK83" s="2">
        <f>ROUND(R83*(R12)/100,2)</f>
        <v>0</v>
      </c>
      <c r="GL83" s="2">
        <f t="shared" ref="GL83:GL110" si="104">ROUND(IF(AND(BH83=3,BI83=3,FS83&lt;&gt;0),P83,0),2)</f>
        <v>0</v>
      </c>
      <c r="GM83" s="2">
        <f t="shared" ref="GM83:GM88" si="105">ROUND(O83+X83+Y83+GK83,2)+GX83</f>
        <v>2055.4499999999998</v>
      </c>
      <c r="GN83" s="2">
        <f t="shared" ref="GN83:GN88" si="106">IF(OR(BI83=0,BI83=1),ROUND(O83+X83+Y83+GK83,2),0)</f>
        <v>2055.4499999999998</v>
      </c>
      <c r="GO83" s="2">
        <f t="shared" ref="GO83:GO88" si="107">IF(BI83=2,ROUND(O83+X83+Y83+GK83,2),0)</f>
        <v>0</v>
      </c>
      <c r="GP83" s="2">
        <f t="shared" ref="GP83:GP88" si="108">IF(BI83=4,ROUND(O83+X83+Y83+GK83,2)+GX83,0)</f>
        <v>0</v>
      </c>
      <c r="GQ83" s="2"/>
      <c r="GR83" s="2">
        <v>0</v>
      </c>
      <c r="GS83" s="2">
        <v>3</v>
      </c>
      <c r="GT83" s="2">
        <v>0</v>
      </c>
      <c r="GU83" s="2" t="s">
        <v>3</v>
      </c>
      <c r="GV83" s="2">
        <f t="shared" ref="GV83:GV110" si="109">ROUND((GT83),6)</f>
        <v>0</v>
      </c>
      <c r="GW83" s="2">
        <v>1</v>
      </c>
      <c r="GX83" s="2">
        <f t="shared" ref="GX83:GX110" si="110">ROUND(HC83*I83,2)</f>
        <v>0</v>
      </c>
      <c r="GY83" s="2"/>
      <c r="GZ83" s="2"/>
      <c r="HA83" s="2">
        <v>0</v>
      </c>
      <c r="HB83" s="2">
        <v>0</v>
      </c>
      <c r="HC83" s="2">
        <f t="shared" ref="HC83:HC110" si="111">GV83*GW83</f>
        <v>0</v>
      </c>
      <c r="HD83" s="2"/>
      <c r="HE83" s="2" t="s">
        <v>3</v>
      </c>
      <c r="HF83" s="2" t="s">
        <v>3</v>
      </c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>
        <v>0</v>
      </c>
      <c r="IL83" s="2"/>
      <c r="IM83" s="2"/>
      <c r="IN83" s="2"/>
      <c r="IO83" s="2"/>
      <c r="IP83" s="2"/>
      <c r="IQ83" s="2"/>
      <c r="IR83" s="2"/>
      <c r="IS83" s="2"/>
      <c r="IT83" s="2"/>
      <c r="IU83" s="2"/>
    </row>
    <row r="84" spans="1:255" x14ac:dyDescent="0.2">
      <c r="A84">
        <v>17</v>
      </c>
      <c r="B84">
        <v>1</v>
      </c>
      <c r="C84">
        <f>ROW(SmtRes!A36)</f>
        <v>36</v>
      </c>
      <c r="D84">
        <f>ROW(EtalonRes!A36)</f>
        <v>36</v>
      </c>
      <c r="E84" t="s">
        <v>128</v>
      </c>
      <c r="F84" t="s">
        <v>129</v>
      </c>
      <c r="G84" t="s">
        <v>130</v>
      </c>
      <c r="H84" t="s">
        <v>131</v>
      </c>
      <c r="I84">
        <f>ROUND(102/100,9)</f>
        <v>1.02</v>
      </c>
      <c r="J84">
        <v>0</v>
      </c>
      <c r="O84">
        <f t="shared" si="74"/>
        <v>21980.21</v>
      </c>
      <c r="P84">
        <f t="shared" si="75"/>
        <v>0</v>
      </c>
      <c r="Q84">
        <f t="shared" si="76"/>
        <v>0</v>
      </c>
      <c r="R84">
        <f t="shared" si="77"/>
        <v>0</v>
      </c>
      <c r="S84">
        <f t="shared" si="78"/>
        <v>21980.21</v>
      </c>
      <c r="T84">
        <f t="shared" si="79"/>
        <v>0</v>
      </c>
      <c r="U84">
        <f t="shared" si="80"/>
        <v>78.234000000000009</v>
      </c>
      <c r="V84">
        <f t="shared" si="81"/>
        <v>0</v>
      </c>
      <c r="W84">
        <f t="shared" si="82"/>
        <v>0</v>
      </c>
      <c r="X84">
        <f t="shared" si="83"/>
        <v>14946.54</v>
      </c>
      <c r="Y84">
        <f t="shared" si="84"/>
        <v>9011.89</v>
      </c>
      <c r="AA84">
        <v>45747932</v>
      </c>
      <c r="AB84">
        <f t="shared" si="85"/>
        <v>857.51</v>
      </c>
      <c r="AC84">
        <f t="shared" si="86"/>
        <v>0</v>
      </c>
      <c r="AD84">
        <f t="shared" si="87"/>
        <v>0</v>
      </c>
      <c r="AE84">
        <f t="shared" si="88"/>
        <v>0</v>
      </c>
      <c r="AF84">
        <f t="shared" si="89"/>
        <v>857.51</v>
      </c>
      <c r="AG84">
        <f t="shared" si="90"/>
        <v>0</v>
      </c>
      <c r="AH84">
        <f t="shared" si="91"/>
        <v>76.7</v>
      </c>
      <c r="AI84">
        <f t="shared" si="92"/>
        <v>0</v>
      </c>
      <c r="AJ84">
        <f t="shared" si="93"/>
        <v>0</v>
      </c>
      <c r="AK84">
        <v>857.51</v>
      </c>
      <c r="AL84">
        <v>0</v>
      </c>
      <c r="AM84">
        <v>0</v>
      </c>
      <c r="AN84">
        <v>0</v>
      </c>
      <c r="AO84">
        <v>857.51</v>
      </c>
      <c r="AP84">
        <v>0</v>
      </c>
      <c r="AQ84">
        <v>76.7</v>
      </c>
      <c r="AR84">
        <v>0</v>
      </c>
      <c r="AS84">
        <v>0</v>
      </c>
      <c r="AT84">
        <v>68</v>
      </c>
      <c r="AU84">
        <v>41</v>
      </c>
      <c r="AV84">
        <v>1</v>
      </c>
      <c r="AW84">
        <v>1</v>
      </c>
      <c r="AZ84">
        <v>1</v>
      </c>
      <c r="BA84">
        <v>25.13</v>
      </c>
      <c r="BB84">
        <v>1</v>
      </c>
      <c r="BC84">
        <v>1</v>
      </c>
      <c r="BD84" t="s">
        <v>3</v>
      </c>
      <c r="BE84" t="s">
        <v>3</v>
      </c>
      <c r="BF84" t="s">
        <v>3</v>
      </c>
      <c r="BG84" t="s">
        <v>3</v>
      </c>
      <c r="BH84">
        <v>0</v>
      </c>
      <c r="BI84">
        <v>1</v>
      </c>
      <c r="BJ84" t="s">
        <v>132</v>
      </c>
      <c r="BM84">
        <v>674</v>
      </c>
      <c r="BN84">
        <v>0</v>
      </c>
      <c r="BO84" t="s">
        <v>129</v>
      </c>
      <c r="BP84">
        <v>1</v>
      </c>
      <c r="BQ84">
        <v>60</v>
      </c>
      <c r="BR84">
        <v>0</v>
      </c>
      <c r="BS84">
        <v>25.13</v>
      </c>
      <c r="BT84">
        <v>1</v>
      </c>
      <c r="BU84">
        <v>1</v>
      </c>
      <c r="BV84">
        <v>1</v>
      </c>
      <c r="BW84">
        <v>1</v>
      </c>
      <c r="BX84">
        <v>1</v>
      </c>
      <c r="BY84" t="s">
        <v>3</v>
      </c>
      <c r="BZ84">
        <v>68</v>
      </c>
      <c r="CA84">
        <v>41</v>
      </c>
      <c r="CE84">
        <v>30</v>
      </c>
      <c r="CF84">
        <v>0</v>
      </c>
      <c r="CG84">
        <v>0</v>
      </c>
      <c r="CM84">
        <v>0</v>
      </c>
      <c r="CN84" t="s">
        <v>3</v>
      </c>
      <c r="CO84">
        <v>0</v>
      </c>
      <c r="CP84">
        <f t="shared" si="94"/>
        <v>21980.21</v>
      </c>
      <c r="CQ84">
        <f t="shared" si="95"/>
        <v>0</v>
      </c>
      <c r="CR84">
        <f t="shared" si="96"/>
        <v>0</v>
      </c>
      <c r="CS84">
        <f t="shared" si="97"/>
        <v>0</v>
      </c>
      <c r="CT84">
        <f t="shared" si="98"/>
        <v>21549.23</v>
      </c>
      <c r="CU84">
        <f t="shared" si="99"/>
        <v>0</v>
      </c>
      <c r="CV84">
        <f t="shared" si="100"/>
        <v>76.7</v>
      </c>
      <c r="CW84">
        <f t="shared" si="101"/>
        <v>0</v>
      </c>
      <c r="CX84">
        <f t="shared" si="102"/>
        <v>0</v>
      </c>
      <c r="CY84">
        <f>S84*(BZ84/100)</f>
        <v>14946.542800000001</v>
      </c>
      <c r="CZ84">
        <f>S84*(CA84/100)</f>
        <v>9011.8860999999997</v>
      </c>
      <c r="DC84" t="s">
        <v>3</v>
      </c>
      <c r="DD84" t="s">
        <v>3</v>
      </c>
      <c r="DE84" t="s">
        <v>3</v>
      </c>
      <c r="DF84" t="s">
        <v>3</v>
      </c>
      <c r="DG84" t="s">
        <v>3</v>
      </c>
      <c r="DH84" t="s">
        <v>3</v>
      </c>
      <c r="DI84" t="s">
        <v>3</v>
      </c>
      <c r="DJ84" t="s">
        <v>3</v>
      </c>
      <c r="DK84" t="s">
        <v>3</v>
      </c>
      <c r="DL84" t="s">
        <v>3</v>
      </c>
      <c r="DM84" t="s">
        <v>3</v>
      </c>
      <c r="DN84">
        <v>80</v>
      </c>
      <c r="DO84">
        <v>55</v>
      </c>
      <c r="DP84">
        <v>1</v>
      </c>
      <c r="DQ84">
        <v>1</v>
      </c>
      <c r="DU84">
        <v>1003</v>
      </c>
      <c r="DV84" t="s">
        <v>131</v>
      </c>
      <c r="DW84" t="s">
        <v>131</v>
      </c>
      <c r="DX84">
        <v>100</v>
      </c>
      <c r="EE84">
        <v>45707134</v>
      </c>
      <c r="EF84">
        <v>60</v>
      </c>
      <c r="EG84" t="s">
        <v>25</v>
      </c>
      <c r="EH84">
        <v>0</v>
      </c>
      <c r="EI84" t="s">
        <v>3</v>
      </c>
      <c r="EJ84">
        <v>1</v>
      </c>
      <c r="EK84">
        <v>674</v>
      </c>
      <c r="EL84" t="s">
        <v>26</v>
      </c>
      <c r="EM84" t="s">
        <v>27</v>
      </c>
      <c r="EO84" t="s">
        <v>3</v>
      </c>
      <c r="EQ84">
        <v>0</v>
      </c>
      <c r="ER84">
        <v>857.51</v>
      </c>
      <c r="ES84">
        <v>0</v>
      </c>
      <c r="ET84">
        <v>0</v>
      </c>
      <c r="EU84">
        <v>0</v>
      </c>
      <c r="EV84">
        <v>857.51</v>
      </c>
      <c r="EW84">
        <v>76.7</v>
      </c>
      <c r="EX84">
        <v>0</v>
      </c>
      <c r="EY84">
        <v>0</v>
      </c>
      <c r="FQ84">
        <v>0</v>
      </c>
      <c r="FR84">
        <f t="shared" si="103"/>
        <v>0</v>
      </c>
      <c r="FS84">
        <v>0</v>
      </c>
      <c r="FX84">
        <v>80</v>
      </c>
      <c r="FY84">
        <v>55</v>
      </c>
      <c r="GA84" t="s">
        <v>3</v>
      </c>
      <c r="GD84">
        <v>0</v>
      </c>
      <c r="GF84">
        <v>-306614759</v>
      </c>
      <c r="GG84">
        <v>2</v>
      </c>
      <c r="GH84">
        <v>1</v>
      </c>
      <c r="GI84">
        <v>2</v>
      </c>
      <c r="GJ84">
        <v>0</v>
      </c>
      <c r="GK84">
        <f>ROUND(R84*(S12)/100,2)</f>
        <v>0</v>
      </c>
      <c r="GL84">
        <f t="shared" si="104"/>
        <v>0</v>
      </c>
      <c r="GM84">
        <f t="shared" si="105"/>
        <v>45938.64</v>
      </c>
      <c r="GN84">
        <f t="shared" si="106"/>
        <v>45938.64</v>
      </c>
      <c r="GO84">
        <f t="shared" si="107"/>
        <v>0</v>
      </c>
      <c r="GP84">
        <f t="shared" si="108"/>
        <v>0</v>
      </c>
      <c r="GR84">
        <v>0</v>
      </c>
      <c r="GS84">
        <v>3</v>
      </c>
      <c r="GT84">
        <v>0</v>
      </c>
      <c r="GU84" t="s">
        <v>3</v>
      </c>
      <c r="GV84">
        <f t="shared" si="109"/>
        <v>0</v>
      </c>
      <c r="GW84">
        <v>1</v>
      </c>
      <c r="GX84">
        <f t="shared" si="110"/>
        <v>0</v>
      </c>
      <c r="HA84">
        <v>0</v>
      </c>
      <c r="HB84">
        <v>0</v>
      </c>
      <c r="HC84">
        <f t="shared" si="111"/>
        <v>0</v>
      </c>
      <c r="HE84" t="s">
        <v>3</v>
      </c>
      <c r="HF84" t="s">
        <v>3</v>
      </c>
      <c r="IK84">
        <v>0</v>
      </c>
    </row>
    <row r="85" spans="1:255" x14ac:dyDescent="0.2">
      <c r="A85" s="2">
        <v>17</v>
      </c>
      <c r="B85" s="2">
        <v>1</v>
      </c>
      <c r="C85" s="2">
        <f>ROW(SmtRes!A37)</f>
        <v>37</v>
      </c>
      <c r="D85" s="2">
        <f>ROW(EtalonRes!A37)</f>
        <v>37</v>
      </c>
      <c r="E85" s="2" t="s">
        <v>133</v>
      </c>
      <c r="F85" s="2" t="s">
        <v>29</v>
      </c>
      <c r="G85" s="2" t="s">
        <v>30</v>
      </c>
      <c r="H85" s="2" t="s">
        <v>31</v>
      </c>
      <c r="I85" s="2">
        <f>ROUND(102*(0.043+0.059)*2.7*0.95,9)</f>
        <v>26.686260000000001</v>
      </c>
      <c r="J85" s="2">
        <v>0</v>
      </c>
      <c r="K85" s="2"/>
      <c r="L85" s="2"/>
      <c r="M85" s="2"/>
      <c r="N85" s="2"/>
      <c r="O85" s="2">
        <f t="shared" si="74"/>
        <v>236.44</v>
      </c>
      <c r="P85" s="2">
        <f t="shared" si="75"/>
        <v>0</v>
      </c>
      <c r="Q85" s="2">
        <f t="shared" si="76"/>
        <v>236.44</v>
      </c>
      <c r="R85" s="2">
        <f t="shared" si="77"/>
        <v>39.5</v>
      </c>
      <c r="S85" s="2">
        <f t="shared" si="78"/>
        <v>0</v>
      </c>
      <c r="T85" s="2">
        <f t="shared" si="79"/>
        <v>0</v>
      </c>
      <c r="U85" s="2">
        <f t="shared" si="80"/>
        <v>0</v>
      </c>
      <c r="V85" s="2">
        <f t="shared" si="81"/>
        <v>0</v>
      </c>
      <c r="W85" s="2">
        <f t="shared" si="82"/>
        <v>0</v>
      </c>
      <c r="X85" s="2">
        <f t="shared" si="83"/>
        <v>0</v>
      </c>
      <c r="Y85" s="2">
        <f t="shared" si="84"/>
        <v>0</v>
      </c>
      <c r="Z85" s="2"/>
      <c r="AA85" s="2">
        <v>45748053</v>
      </c>
      <c r="AB85" s="2">
        <f t="shared" si="85"/>
        <v>8.86</v>
      </c>
      <c r="AC85" s="2">
        <f t="shared" si="86"/>
        <v>0</v>
      </c>
      <c r="AD85" s="2">
        <f t="shared" si="87"/>
        <v>8.86</v>
      </c>
      <c r="AE85" s="2">
        <f t="shared" si="88"/>
        <v>1.48</v>
      </c>
      <c r="AF85" s="2">
        <f t="shared" si="89"/>
        <v>0</v>
      </c>
      <c r="AG85" s="2">
        <f t="shared" si="90"/>
        <v>0</v>
      </c>
      <c r="AH85" s="2">
        <f t="shared" si="91"/>
        <v>0</v>
      </c>
      <c r="AI85" s="2">
        <f t="shared" si="92"/>
        <v>0</v>
      </c>
      <c r="AJ85" s="2">
        <f t="shared" si="93"/>
        <v>0</v>
      </c>
      <c r="AK85" s="2">
        <v>8.86</v>
      </c>
      <c r="AL85" s="2">
        <v>0</v>
      </c>
      <c r="AM85" s="2">
        <v>8.86</v>
      </c>
      <c r="AN85" s="2">
        <v>1.48</v>
      </c>
      <c r="AO85" s="2">
        <v>0</v>
      </c>
      <c r="AP85" s="2">
        <v>0</v>
      </c>
      <c r="AQ85" s="2">
        <v>0</v>
      </c>
      <c r="AR85" s="2">
        <v>0</v>
      </c>
      <c r="AS85" s="2">
        <v>0</v>
      </c>
      <c r="AT85" s="2">
        <v>91</v>
      </c>
      <c r="AU85" s="2">
        <v>70</v>
      </c>
      <c r="AV85" s="2">
        <v>1</v>
      </c>
      <c r="AW85" s="2">
        <v>1</v>
      </c>
      <c r="AX85" s="2"/>
      <c r="AY85" s="2"/>
      <c r="AZ85" s="2">
        <v>1</v>
      </c>
      <c r="BA85" s="2">
        <v>1</v>
      </c>
      <c r="BB85" s="2">
        <v>1</v>
      </c>
      <c r="BC85" s="2">
        <v>1</v>
      </c>
      <c r="BD85" s="2" t="s">
        <v>3</v>
      </c>
      <c r="BE85" s="2" t="s">
        <v>3</v>
      </c>
      <c r="BF85" s="2" t="s">
        <v>3</v>
      </c>
      <c r="BG85" s="2" t="s">
        <v>3</v>
      </c>
      <c r="BH85" s="2">
        <v>0</v>
      </c>
      <c r="BI85" s="2">
        <v>1</v>
      </c>
      <c r="BJ85" s="2" t="s">
        <v>32</v>
      </c>
      <c r="BK85" s="2"/>
      <c r="BL85" s="2"/>
      <c r="BM85" s="2">
        <v>658</v>
      </c>
      <c r="BN85" s="2">
        <v>0</v>
      </c>
      <c r="BO85" s="2" t="s">
        <v>3</v>
      </c>
      <c r="BP85" s="2">
        <v>0</v>
      </c>
      <c r="BQ85" s="2">
        <v>60</v>
      </c>
      <c r="BR85" s="2">
        <v>0</v>
      </c>
      <c r="BS85" s="2">
        <v>1</v>
      </c>
      <c r="BT85" s="2">
        <v>1</v>
      </c>
      <c r="BU85" s="2">
        <v>1</v>
      </c>
      <c r="BV85" s="2">
        <v>1</v>
      </c>
      <c r="BW85" s="2">
        <v>1</v>
      </c>
      <c r="BX85" s="2">
        <v>1</v>
      </c>
      <c r="BY85" s="2" t="s">
        <v>3</v>
      </c>
      <c r="BZ85" s="2">
        <v>91</v>
      </c>
      <c r="CA85" s="2">
        <v>70</v>
      </c>
      <c r="CB85" s="2"/>
      <c r="CC85" s="2"/>
      <c r="CD85" s="2"/>
      <c r="CE85" s="2">
        <v>30</v>
      </c>
      <c r="CF85" s="2">
        <v>0</v>
      </c>
      <c r="CG85" s="2">
        <v>0</v>
      </c>
      <c r="CH85" s="2"/>
      <c r="CI85" s="2"/>
      <c r="CJ85" s="2"/>
      <c r="CK85" s="2"/>
      <c r="CL85" s="2"/>
      <c r="CM85" s="2">
        <v>0</v>
      </c>
      <c r="CN85" s="2" t="s">
        <v>3</v>
      </c>
      <c r="CO85" s="2">
        <v>0</v>
      </c>
      <c r="CP85" s="2">
        <f t="shared" si="94"/>
        <v>236.44</v>
      </c>
      <c r="CQ85" s="2">
        <f t="shared" si="95"/>
        <v>0</v>
      </c>
      <c r="CR85" s="2">
        <f t="shared" si="96"/>
        <v>8.86</v>
      </c>
      <c r="CS85" s="2">
        <f t="shared" si="97"/>
        <v>1.48</v>
      </c>
      <c r="CT85" s="2">
        <f t="shared" si="98"/>
        <v>0</v>
      </c>
      <c r="CU85" s="2">
        <f t="shared" si="99"/>
        <v>0</v>
      </c>
      <c r="CV85" s="2">
        <f t="shared" si="100"/>
        <v>0</v>
      </c>
      <c r="CW85" s="2">
        <f t="shared" si="101"/>
        <v>0</v>
      </c>
      <c r="CX85" s="2">
        <f t="shared" si="102"/>
        <v>0</v>
      </c>
      <c r="CY85" s="2">
        <f>((S85*BZ85)/100)</f>
        <v>0</v>
      </c>
      <c r="CZ85" s="2">
        <f>((S85*CA85)/100)</f>
        <v>0</v>
      </c>
      <c r="DA85" s="2"/>
      <c r="DB85" s="2"/>
      <c r="DC85" s="2" t="s">
        <v>3</v>
      </c>
      <c r="DD85" s="2" t="s">
        <v>3</v>
      </c>
      <c r="DE85" s="2" t="s">
        <v>3</v>
      </c>
      <c r="DF85" s="2" t="s">
        <v>3</v>
      </c>
      <c r="DG85" s="2" t="s">
        <v>3</v>
      </c>
      <c r="DH85" s="2" t="s">
        <v>3</v>
      </c>
      <c r="DI85" s="2" t="s">
        <v>3</v>
      </c>
      <c r="DJ85" s="2" t="s">
        <v>3</v>
      </c>
      <c r="DK85" s="2" t="s">
        <v>3</v>
      </c>
      <c r="DL85" s="2" t="s">
        <v>3</v>
      </c>
      <c r="DM85" s="2" t="s">
        <v>3</v>
      </c>
      <c r="DN85" s="2">
        <v>0</v>
      </c>
      <c r="DO85" s="2">
        <v>0</v>
      </c>
      <c r="DP85" s="2">
        <v>1</v>
      </c>
      <c r="DQ85" s="2">
        <v>1</v>
      </c>
      <c r="DR85" s="2"/>
      <c r="DS85" s="2"/>
      <c r="DT85" s="2"/>
      <c r="DU85" s="2">
        <v>1013</v>
      </c>
      <c r="DV85" s="2" t="s">
        <v>31</v>
      </c>
      <c r="DW85" s="2" t="s">
        <v>31</v>
      </c>
      <c r="DX85" s="2">
        <v>1</v>
      </c>
      <c r="DY85" s="2"/>
      <c r="DZ85" s="2"/>
      <c r="EA85" s="2"/>
      <c r="EB85" s="2"/>
      <c r="EC85" s="2"/>
      <c r="ED85" s="2"/>
      <c r="EE85" s="2">
        <v>45707118</v>
      </c>
      <c r="EF85" s="2">
        <v>60</v>
      </c>
      <c r="EG85" s="2" t="s">
        <v>25</v>
      </c>
      <c r="EH85" s="2">
        <v>0</v>
      </c>
      <c r="EI85" s="2" t="s">
        <v>3</v>
      </c>
      <c r="EJ85" s="2">
        <v>1</v>
      </c>
      <c r="EK85" s="2">
        <v>658</v>
      </c>
      <c r="EL85" s="2" t="s">
        <v>33</v>
      </c>
      <c r="EM85" s="2" t="s">
        <v>34</v>
      </c>
      <c r="EN85" s="2"/>
      <c r="EO85" s="2" t="s">
        <v>3</v>
      </c>
      <c r="EP85" s="2"/>
      <c r="EQ85" s="2">
        <v>0</v>
      </c>
      <c r="ER85" s="2">
        <v>8.86</v>
      </c>
      <c r="ES85" s="2">
        <v>0</v>
      </c>
      <c r="ET85" s="2">
        <v>8.86</v>
      </c>
      <c r="EU85" s="2">
        <v>1.48</v>
      </c>
      <c r="EV85" s="2">
        <v>0</v>
      </c>
      <c r="EW85" s="2">
        <v>0</v>
      </c>
      <c r="EX85" s="2">
        <v>0</v>
      </c>
      <c r="EY85" s="2">
        <v>0</v>
      </c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>
        <v>0</v>
      </c>
      <c r="FR85" s="2">
        <f t="shared" si="103"/>
        <v>0</v>
      </c>
      <c r="FS85" s="2">
        <v>0</v>
      </c>
      <c r="FT85" s="2"/>
      <c r="FU85" s="2"/>
      <c r="FV85" s="2"/>
      <c r="FW85" s="2"/>
      <c r="FX85" s="2">
        <v>91</v>
      </c>
      <c r="FY85" s="2">
        <v>70</v>
      </c>
      <c r="FZ85" s="2"/>
      <c r="GA85" s="2" t="s">
        <v>3</v>
      </c>
      <c r="GB85" s="2"/>
      <c r="GC85" s="2"/>
      <c r="GD85" s="2">
        <v>0</v>
      </c>
      <c r="GE85" s="2"/>
      <c r="GF85" s="2">
        <v>-1983005167</v>
      </c>
      <c r="GG85" s="2">
        <v>2</v>
      </c>
      <c r="GH85" s="2">
        <v>1</v>
      </c>
      <c r="GI85" s="2">
        <v>-2</v>
      </c>
      <c r="GJ85" s="2">
        <v>0</v>
      </c>
      <c r="GK85" s="2">
        <f>ROUND(R85*(R12)/100,2)</f>
        <v>69.13</v>
      </c>
      <c r="GL85" s="2">
        <f t="shared" si="104"/>
        <v>0</v>
      </c>
      <c r="GM85" s="2">
        <f t="shared" si="105"/>
        <v>305.57</v>
      </c>
      <c r="GN85" s="2">
        <f t="shared" si="106"/>
        <v>305.57</v>
      </c>
      <c r="GO85" s="2">
        <f t="shared" si="107"/>
        <v>0</v>
      </c>
      <c r="GP85" s="2">
        <f t="shared" si="108"/>
        <v>0</v>
      </c>
      <c r="GQ85" s="2"/>
      <c r="GR85" s="2">
        <v>0</v>
      </c>
      <c r="GS85" s="2">
        <v>3</v>
      </c>
      <c r="GT85" s="2">
        <v>0</v>
      </c>
      <c r="GU85" s="2" t="s">
        <v>3</v>
      </c>
      <c r="GV85" s="2">
        <f t="shared" si="109"/>
        <v>0</v>
      </c>
      <c r="GW85" s="2">
        <v>1</v>
      </c>
      <c r="GX85" s="2">
        <f t="shared" si="110"/>
        <v>0</v>
      </c>
      <c r="GY85" s="2"/>
      <c r="GZ85" s="2"/>
      <c r="HA85" s="2">
        <v>0</v>
      </c>
      <c r="HB85" s="2">
        <v>0</v>
      </c>
      <c r="HC85" s="2">
        <f t="shared" si="111"/>
        <v>0</v>
      </c>
      <c r="HD85" s="2"/>
      <c r="HE85" s="2" t="s">
        <v>3</v>
      </c>
      <c r="HF85" s="2" t="s">
        <v>3</v>
      </c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>
        <v>0</v>
      </c>
      <c r="IL85" s="2"/>
      <c r="IM85" s="2"/>
      <c r="IN85" s="2"/>
      <c r="IO85" s="2"/>
      <c r="IP85" s="2"/>
      <c r="IQ85" s="2"/>
      <c r="IR85" s="2"/>
      <c r="IS85" s="2"/>
      <c r="IT85" s="2"/>
      <c r="IU85" s="2"/>
    </row>
    <row r="86" spans="1:255" x14ac:dyDescent="0.2">
      <c r="A86">
        <v>17</v>
      </c>
      <c r="B86">
        <v>1</v>
      </c>
      <c r="C86">
        <f>ROW(SmtRes!A38)</f>
        <v>38</v>
      </c>
      <c r="D86">
        <f>ROW(EtalonRes!A38)</f>
        <v>38</v>
      </c>
      <c r="E86" t="s">
        <v>133</v>
      </c>
      <c r="F86" t="s">
        <v>29</v>
      </c>
      <c r="G86" t="s">
        <v>30</v>
      </c>
      <c r="H86" t="s">
        <v>31</v>
      </c>
      <c r="I86">
        <f>ROUND(102*(0.043+0.059)*2.7*0.95,9)</f>
        <v>26.686260000000001</v>
      </c>
      <c r="J86">
        <v>0</v>
      </c>
      <c r="O86">
        <f t="shared" si="74"/>
        <v>2127.96</v>
      </c>
      <c r="P86">
        <f t="shared" si="75"/>
        <v>0</v>
      </c>
      <c r="Q86">
        <f t="shared" si="76"/>
        <v>2127.96</v>
      </c>
      <c r="R86">
        <f t="shared" si="77"/>
        <v>992.64</v>
      </c>
      <c r="S86">
        <f t="shared" si="78"/>
        <v>0</v>
      </c>
      <c r="T86">
        <f t="shared" si="79"/>
        <v>0</v>
      </c>
      <c r="U86">
        <f t="shared" si="80"/>
        <v>0</v>
      </c>
      <c r="V86">
        <f t="shared" si="81"/>
        <v>0</v>
      </c>
      <c r="W86">
        <f t="shared" si="82"/>
        <v>0</v>
      </c>
      <c r="X86">
        <f t="shared" si="83"/>
        <v>0</v>
      </c>
      <c r="Y86">
        <f t="shared" si="84"/>
        <v>0</v>
      </c>
      <c r="AA86">
        <v>45747932</v>
      </c>
      <c r="AB86">
        <f t="shared" si="85"/>
        <v>8.86</v>
      </c>
      <c r="AC86">
        <f t="shared" si="86"/>
        <v>0</v>
      </c>
      <c r="AD86">
        <f t="shared" si="87"/>
        <v>8.86</v>
      </c>
      <c r="AE86">
        <f t="shared" si="88"/>
        <v>1.48</v>
      </c>
      <c r="AF86">
        <f t="shared" si="89"/>
        <v>0</v>
      </c>
      <c r="AG86">
        <f t="shared" si="90"/>
        <v>0</v>
      </c>
      <c r="AH86">
        <f t="shared" si="91"/>
        <v>0</v>
      </c>
      <c r="AI86">
        <f t="shared" si="92"/>
        <v>0</v>
      </c>
      <c r="AJ86">
        <f t="shared" si="93"/>
        <v>0</v>
      </c>
      <c r="AK86">
        <v>8.86</v>
      </c>
      <c r="AL86">
        <v>0</v>
      </c>
      <c r="AM86">
        <v>8.86</v>
      </c>
      <c r="AN86">
        <v>1.48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73</v>
      </c>
      <c r="AU86">
        <v>41</v>
      </c>
      <c r="AV86">
        <v>1</v>
      </c>
      <c r="AW86">
        <v>1</v>
      </c>
      <c r="AZ86">
        <v>1</v>
      </c>
      <c r="BA86">
        <v>25.13</v>
      </c>
      <c r="BB86">
        <v>9</v>
      </c>
      <c r="BC86">
        <v>1</v>
      </c>
      <c r="BD86" t="s">
        <v>3</v>
      </c>
      <c r="BE86" t="s">
        <v>3</v>
      </c>
      <c r="BF86" t="s">
        <v>3</v>
      </c>
      <c r="BG86" t="s">
        <v>3</v>
      </c>
      <c r="BH86">
        <v>0</v>
      </c>
      <c r="BI86">
        <v>1</v>
      </c>
      <c r="BJ86" t="s">
        <v>32</v>
      </c>
      <c r="BM86">
        <v>658</v>
      </c>
      <c r="BN86">
        <v>0</v>
      </c>
      <c r="BO86" t="s">
        <v>29</v>
      </c>
      <c r="BP86">
        <v>1</v>
      </c>
      <c r="BQ86">
        <v>60</v>
      </c>
      <c r="BR86">
        <v>0</v>
      </c>
      <c r="BS86">
        <v>25.13</v>
      </c>
      <c r="BT86">
        <v>1</v>
      </c>
      <c r="BU86">
        <v>1</v>
      </c>
      <c r="BV86">
        <v>1</v>
      </c>
      <c r="BW86">
        <v>1</v>
      </c>
      <c r="BX86">
        <v>1</v>
      </c>
      <c r="BY86" t="s">
        <v>3</v>
      </c>
      <c r="BZ86">
        <v>73</v>
      </c>
      <c r="CA86">
        <v>41</v>
      </c>
      <c r="CE86">
        <v>30</v>
      </c>
      <c r="CF86">
        <v>0</v>
      </c>
      <c r="CG86">
        <v>0</v>
      </c>
      <c r="CM86">
        <v>0</v>
      </c>
      <c r="CN86" t="s">
        <v>3</v>
      </c>
      <c r="CO86">
        <v>0</v>
      </c>
      <c r="CP86">
        <f t="shared" si="94"/>
        <v>2127.96</v>
      </c>
      <c r="CQ86">
        <f t="shared" si="95"/>
        <v>0</v>
      </c>
      <c r="CR86">
        <f t="shared" si="96"/>
        <v>79.739999999999995</v>
      </c>
      <c r="CS86">
        <f t="shared" si="97"/>
        <v>37.19</v>
      </c>
      <c r="CT86">
        <f t="shared" si="98"/>
        <v>0</v>
      </c>
      <c r="CU86">
        <f t="shared" si="99"/>
        <v>0</v>
      </c>
      <c r="CV86">
        <f t="shared" si="100"/>
        <v>0</v>
      </c>
      <c r="CW86">
        <f t="shared" si="101"/>
        <v>0</v>
      </c>
      <c r="CX86">
        <f t="shared" si="102"/>
        <v>0</v>
      </c>
      <c r="CY86">
        <f>S86*(BZ86/100)</f>
        <v>0</v>
      </c>
      <c r="CZ86">
        <f>S86*(CA86/100)</f>
        <v>0</v>
      </c>
      <c r="DC86" t="s">
        <v>3</v>
      </c>
      <c r="DD86" t="s">
        <v>3</v>
      </c>
      <c r="DE86" t="s">
        <v>3</v>
      </c>
      <c r="DF86" t="s">
        <v>3</v>
      </c>
      <c r="DG86" t="s">
        <v>3</v>
      </c>
      <c r="DH86" t="s">
        <v>3</v>
      </c>
      <c r="DI86" t="s">
        <v>3</v>
      </c>
      <c r="DJ86" t="s">
        <v>3</v>
      </c>
      <c r="DK86" t="s">
        <v>3</v>
      </c>
      <c r="DL86" t="s">
        <v>3</v>
      </c>
      <c r="DM86" t="s">
        <v>3</v>
      </c>
      <c r="DN86">
        <v>91</v>
      </c>
      <c r="DO86">
        <v>70</v>
      </c>
      <c r="DP86">
        <v>1</v>
      </c>
      <c r="DQ86">
        <v>1</v>
      </c>
      <c r="DU86">
        <v>1013</v>
      </c>
      <c r="DV86" t="s">
        <v>31</v>
      </c>
      <c r="DW86" t="s">
        <v>31</v>
      </c>
      <c r="DX86">
        <v>1</v>
      </c>
      <c r="EE86">
        <v>45707118</v>
      </c>
      <c r="EF86">
        <v>60</v>
      </c>
      <c r="EG86" t="s">
        <v>25</v>
      </c>
      <c r="EH86">
        <v>0</v>
      </c>
      <c r="EI86" t="s">
        <v>3</v>
      </c>
      <c r="EJ86">
        <v>1</v>
      </c>
      <c r="EK86">
        <v>658</v>
      </c>
      <c r="EL86" t="s">
        <v>33</v>
      </c>
      <c r="EM86" t="s">
        <v>34</v>
      </c>
      <c r="EO86" t="s">
        <v>3</v>
      </c>
      <c r="EQ86">
        <v>0</v>
      </c>
      <c r="ER86">
        <v>8.86</v>
      </c>
      <c r="ES86">
        <v>0</v>
      </c>
      <c r="ET86">
        <v>8.86</v>
      </c>
      <c r="EU86">
        <v>1.48</v>
      </c>
      <c r="EV86">
        <v>0</v>
      </c>
      <c r="EW86">
        <v>0</v>
      </c>
      <c r="EX86">
        <v>0</v>
      </c>
      <c r="EY86">
        <v>0</v>
      </c>
      <c r="FQ86">
        <v>0</v>
      </c>
      <c r="FR86">
        <f t="shared" si="103"/>
        <v>0</v>
      </c>
      <c r="FS86">
        <v>0</v>
      </c>
      <c r="FX86">
        <v>91</v>
      </c>
      <c r="FY86">
        <v>70</v>
      </c>
      <c r="GA86" t="s">
        <v>3</v>
      </c>
      <c r="GD86">
        <v>0</v>
      </c>
      <c r="GF86">
        <v>-1983005167</v>
      </c>
      <c r="GG86">
        <v>2</v>
      </c>
      <c r="GH86">
        <v>1</v>
      </c>
      <c r="GI86">
        <v>2</v>
      </c>
      <c r="GJ86">
        <v>0</v>
      </c>
      <c r="GK86">
        <f>ROUND(R86*(S12)/100,2)</f>
        <v>1558.44</v>
      </c>
      <c r="GL86">
        <f t="shared" si="104"/>
        <v>0</v>
      </c>
      <c r="GM86">
        <f t="shared" si="105"/>
        <v>3686.4</v>
      </c>
      <c r="GN86">
        <f t="shared" si="106"/>
        <v>3686.4</v>
      </c>
      <c r="GO86">
        <f t="shared" si="107"/>
        <v>0</v>
      </c>
      <c r="GP86">
        <f t="shared" si="108"/>
        <v>0</v>
      </c>
      <c r="GR86">
        <v>0</v>
      </c>
      <c r="GS86">
        <v>3</v>
      </c>
      <c r="GT86">
        <v>0</v>
      </c>
      <c r="GU86" t="s">
        <v>3</v>
      </c>
      <c r="GV86">
        <f t="shared" si="109"/>
        <v>0</v>
      </c>
      <c r="GW86">
        <v>1</v>
      </c>
      <c r="GX86">
        <f t="shared" si="110"/>
        <v>0</v>
      </c>
      <c r="HA86">
        <v>0</v>
      </c>
      <c r="HB86">
        <v>0</v>
      </c>
      <c r="HC86">
        <f t="shared" si="111"/>
        <v>0</v>
      </c>
      <c r="HE86" t="s">
        <v>3</v>
      </c>
      <c r="HF86" t="s">
        <v>3</v>
      </c>
      <c r="IK86">
        <v>0</v>
      </c>
    </row>
    <row r="87" spans="1:255" x14ac:dyDescent="0.2">
      <c r="A87" s="2">
        <v>17</v>
      </c>
      <c r="B87" s="2">
        <v>1</v>
      </c>
      <c r="C87" s="2">
        <f>ROW(SmtRes!A39)</f>
        <v>39</v>
      </c>
      <c r="D87" s="2">
        <f>ROW(EtalonRes!A39)</f>
        <v>39</v>
      </c>
      <c r="E87" s="2" t="s">
        <v>134</v>
      </c>
      <c r="F87" s="2" t="s">
        <v>36</v>
      </c>
      <c r="G87" s="2" t="s">
        <v>37</v>
      </c>
      <c r="H87" s="2" t="s">
        <v>31</v>
      </c>
      <c r="I87" s="2">
        <f>ROUND(I85/0.95*0.05,9)</f>
        <v>1.4045399999999999</v>
      </c>
      <c r="J87" s="2">
        <v>0</v>
      </c>
      <c r="K87" s="2"/>
      <c r="L87" s="2"/>
      <c r="M87" s="2"/>
      <c r="N87" s="2"/>
      <c r="O87" s="2">
        <f t="shared" si="74"/>
        <v>13.51</v>
      </c>
      <c r="P87" s="2">
        <f t="shared" si="75"/>
        <v>0</v>
      </c>
      <c r="Q87" s="2">
        <f t="shared" si="76"/>
        <v>0</v>
      </c>
      <c r="R87" s="2">
        <f t="shared" si="77"/>
        <v>0</v>
      </c>
      <c r="S87" s="2">
        <f t="shared" si="78"/>
        <v>13.51</v>
      </c>
      <c r="T87" s="2">
        <f t="shared" si="79"/>
        <v>0</v>
      </c>
      <c r="U87" s="2">
        <f t="shared" si="80"/>
        <v>1.4326307999999999</v>
      </c>
      <c r="V87" s="2">
        <f t="shared" si="81"/>
        <v>0</v>
      </c>
      <c r="W87" s="2">
        <f t="shared" si="82"/>
        <v>0</v>
      </c>
      <c r="X87" s="2">
        <f t="shared" si="83"/>
        <v>12.29</v>
      </c>
      <c r="Y87" s="2">
        <f t="shared" si="84"/>
        <v>9.4600000000000009</v>
      </c>
      <c r="Z87" s="2"/>
      <c r="AA87" s="2">
        <v>45748053</v>
      </c>
      <c r="AB87" s="2">
        <f t="shared" si="85"/>
        <v>9.6199999999999992</v>
      </c>
      <c r="AC87" s="2">
        <f t="shared" si="86"/>
        <v>0</v>
      </c>
      <c r="AD87" s="2">
        <f t="shared" si="87"/>
        <v>0</v>
      </c>
      <c r="AE87" s="2">
        <f t="shared" si="88"/>
        <v>0</v>
      </c>
      <c r="AF87" s="2">
        <f t="shared" si="89"/>
        <v>9.6199999999999992</v>
      </c>
      <c r="AG87" s="2">
        <f t="shared" si="90"/>
        <v>0</v>
      </c>
      <c r="AH87" s="2">
        <f t="shared" si="91"/>
        <v>1.02</v>
      </c>
      <c r="AI87" s="2">
        <f t="shared" si="92"/>
        <v>0</v>
      </c>
      <c r="AJ87" s="2">
        <f t="shared" si="93"/>
        <v>0</v>
      </c>
      <c r="AK87" s="2">
        <v>9.6199999999999992</v>
      </c>
      <c r="AL87" s="2">
        <v>0</v>
      </c>
      <c r="AM87" s="2">
        <v>0</v>
      </c>
      <c r="AN87" s="2">
        <v>0</v>
      </c>
      <c r="AO87" s="2">
        <v>9.6199999999999992</v>
      </c>
      <c r="AP87" s="2">
        <v>0</v>
      </c>
      <c r="AQ87" s="2">
        <v>1.02</v>
      </c>
      <c r="AR87" s="2">
        <v>0</v>
      </c>
      <c r="AS87" s="2">
        <v>0</v>
      </c>
      <c r="AT87" s="2">
        <v>91</v>
      </c>
      <c r="AU87" s="2">
        <v>70</v>
      </c>
      <c r="AV87" s="2">
        <v>1</v>
      </c>
      <c r="AW87" s="2">
        <v>1</v>
      </c>
      <c r="AX87" s="2"/>
      <c r="AY87" s="2"/>
      <c r="AZ87" s="2">
        <v>1</v>
      </c>
      <c r="BA87" s="2">
        <v>1</v>
      </c>
      <c r="BB87" s="2">
        <v>1</v>
      </c>
      <c r="BC87" s="2">
        <v>1</v>
      </c>
      <c r="BD87" s="2" t="s">
        <v>3</v>
      </c>
      <c r="BE87" s="2" t="s">
        <v>3</v>
      </c>
      <c r="BF87" s="2" t="s">
        <v>3</v>
      </c>
      <c r="BG87" s="2" t="s">
        <v>3</v>
      </c>
      <c r="BH87" s="2">
        <v>0</v>
      </c>
      <c r="BI87" s="2">
        <v>1</v>
      </c>
      <c r="BJ87" s="2" t="s">
        <v>38</v>
      </c>
      <c r="BK87" s="2"/>
      <c r="BL87" s="2"/>
      <c r="BM87" s="2">
        <v>682</v>
      </c>
      <c r="BN87" s="2">
        <v>0</v>
      </c>
      <c r="BO87" s="2" t="s">
        <v>3</v>
      </c>
      <c r="BP87" s="2">
        <v>0</v>
      </c>
      <c r="BQ87" s="2">
        <v>60</v>
      </c>
      <c r="BR87" s="2">
        <v>0</v>
      </c>
      <c r="BS87" s="2">
        <v>1</v>
      </c>
      <c r="BT87" s="2">
        <v>1</v>
      </c>
      <c r="BU87" s="2">
        <v>1</v>
      </c>
      <c r="BV87" s="2">
        <v>1</v>
      </c>
      <c r="BW87" s="2">
        <v>1</v>
      </c>
      <c r="BX87" s="2">
        <v>1</v>
      </c>
      <c r="BY87" s="2" t="s">
        <v>3</v>
      </c>
      <c r="BZ87" s="2">
        <v>91</v>
      </c>
      <c r="CA87" s="2">
        <v>70</v>
      </c>
      <c r="CB87" s="2"/>
      <c r="CC87" s="2"/>
      <c r="CD87" s="2"/>
      <c r="CE87" s="2">
        <v>30</v>
      </c>
      <c r="CF87" s="2">
        <v>0</v>
      </c>
      <c r="CG87" s="2">
        <v>0</v>
      </c>
      <c r="CH87" s="2"/>
      <c r="CI87" s="2"/>
      <c r="CJ87" s="2"/>
      <c r="CK87" s="2"/>
      <c r="CL87" s="2"/>
      <c r="CM87" s="2">
        <v>0</v>
      </c>
      <c r="CN87" s="2" t="s">
        <v>3</v>
      </c>
      <c r="CO87" s="2">
        <v>0</v>
      </c>
      <c r="CP87" s="2">
        <f t="shared" si="94"/>
        <v>13.51</v>
      </c>
      <c r="CQ87" s="2">
        <f t="shared" si="95"/>
        <v>0</v>
      </c>
      <c r="CR87" s="2">
        <f t="shared" si="96"/>
        <v>0</v>
      </c>
      <c r="CS87" s="2">
        <f t="shared" si="97"/>
        <v>0</v>
      </c>
      <c r="CT87" s="2">
        <f t="shared" si="98"/>
        <v>9.6199999999999992</v>
      </c>
      <c r="CU87" s="2">
        <f t="shared" si="99"/>
        <v>0</v>
      </c>
      <c r="CV87" s="2">
        <f t="shared" si="100"/>
        <v>1.02</v>
      </c>
      <c r="CW87" s="2">
        <f t="shared" si="101"/>
        <v>0</v>
      </c>
      <c r="CX87" s="2">
        <f t="shared" si="102"/>
        <v>0</v>
      </c>
      <c r="CY87" s="2">
        <f>((S87*BZ87)/100)</f>
        <v>12.2941</v>
      </c>
      <c r="CZ87" s="2">
        <f>((S87*CA87)/100)</f>
        <v>9.456999999999999</v>
      </c>
      <c r="DA87" s="2"/>
      <c r="DB87" s="2"/>
      <c r="DC87" s="2" t="s">
        <v>3</v>
      </c>
      <c r="DD87" s="2" t="s">
        <v>3</v>
      </c>
      <c r="DE87" s="2" t="s">
        <v>3</v>
      </c>
      <c r="DF87" s="2" t="s">
        <v>3</v>
      </c>
      <c r="DG87" s="2" t="s">
        <v>3</v>
      </c>
      <c r="DH87" s="2" t="s">
        <v>3</v>
      </c>
      <c r="DI87" s="2" t="s">
        <v>3</v>
      </c>
      <c r="DJ87" s="2" t="s">
        <v>3</v>
      </c>
      <c r="DK87" s="2" t="s">
        <v>3</v>
      </c>
      <c r="DL87" s="2" t="s">
        <v>3</v>
      </c>
      <c r="DM87" s="2" t="s">
        <v>3</v>
      </c>
      <c r="DN87" s="2">
        <v>0</v>
      </c>
      <c r="DO87" s="2">
        <v>0</v>
      </c>
      <c r="DP87" s="2">
        <v>1</v>
      </c>
      <c r="DQ87" s="2">
        <v>1</v>
      </c>
      <c r="DR87" s="2"/>
      <c r="DS87" s="2"/>
      <c r="DT87" s="2"/>
      <c r="DU87" s="2">
        <v>1013</v>
      </c>
      <c r="DV87" s="2" t="s">
        <v>31</v>
      </c>
      <c r="DW87" s="2" t="s">
        <v>31</v>
      </c>
      <c r="DX87" s="2">
        <v>1</v>
      </c>
      <c r="DY87" s="2"/>
      <c r="DZ87" s="2"/>
      <c r="EA87" s="2"/>
      <c r="EB87" s="2"/>
      <c r="EC87" s="2"/>
      <c r="ED87" s="2"/>
      <c r="EE87" s="2">
        <v>45707142</v>
      </c>
      <c r="EF87" s="2">
        <v>60</v>
      </c>
      <c r="EG87" s="2" t="s">
        <v>25</v>
      </c>
      <c r="EH87" s="2">
        <v>0</v>
      </c>
      <c r="EI87" s="2" t="s">
        <v>3</v>
      </c>
      <c r="EJ87" s="2">
        <v>1</v>
      </c>
      <c r="EK87" s="2">
        <v>682</v>
      </c>
      <c r="EL87" s="2" t="s">
        <v>39</v>
      </c>
      <c r="EM87" s="2" t="s">
        <v>40</v>
      </c>
      <c r="EN87" s="2"/>
      <c r="EO87" s="2" t="s">
        <v>3</v>
      </c>
      <c r="EP87" s="2"/>
      <c r="EQ87" s="2">
        <v>0</v>
      </c>
      <c r="ER87" s="2">
        <v>9.6199999999999992</v>
      </c>
      <c r="ES87" s="2">
        <v>0</v>
      </c>
      <c r="ET87" s="2">
        <v>0</v>
      </c>
      <c r="EU87" s="2">
        <v>0</v>
      </c>
      <c r="EV87" s="2">
        <v>9.6199999999999992</v>
      </c>
      <c r="EW87" s="2">
        <v>1.02</v>
      </c>
      <c r="EX87" s="2">
        <v>0</v>
      </c>
      <c r="EY87" s="2">
        <v>0</v>
      </c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>
        <v>0</v>
      </c>
      <c r="FR87" s="2">
        <f t="shared" si="103"/>
        <v>0</v>
      </c>
      <c r="FS87" s="2">
        <v>0</v>
      </c>
      <c r="FT87" s="2"/>
      <c r="FU87" s="2"/>
      <c r="FV87" s="2"/>
      <c r="FW87" s="2"/>
      <c r="FX87" s="2">
        <v>91</v>
      </c>
      <c r="FY87" s="2">
        <v>70</v>
      </c>
      <c r="FZ87" s="2"/>
      <c r="GA87" s="2" t="s">
        <v>3</v>
      </c>
      <c r="GB87" s="2"/>
      <c r="GC87" s="2"/>
      <c r="GD87" s="2">
        <v>0</v>
      </c>
      <c r="GE87" s="2"/>
      <c r="GF87" s="2">
        <v>903638064</v>
      </c>
      <c r="GG87" s="2">
        <v>2</v>
      </c>
      <c r="GH87" s="2">
        <v>1</v>
      </c>
      <c r="GI87" s="2">
        <v>-2</v>
      </c>
      <c r="GJ87" s="2">
        <v>0</v>
      </c>
      <c r="GK87" s="2">
        <f>ROUND(R87*(R12)/100,2)</f>
        <v>0</v>
      </c>
      <c r="GL87" s="2">
        <f t="shared" si="104"/>
        <v>0</v>
      </c>
      <c r="GM87" s="2">
        <f t="shared" si="105"/>
        <v>35.26</v>
      </c>
      <c r="GN87" s="2">
        <f t="shared" si="106"/>
        <v>35.26</v>
      </c>
      <c r="GO87" s="2">
        <f t="shared" si="107"/>
        <v>0</v>
      </c>
      <c r="GP87" s="2">
        <f t="shared" si="108"/>
        <v>0</v>
      </c>
      <c r="GQ87" s="2"/>
      <c r="GR87" s="2">
        <v>0</v>
      </c>
      <c r="GS87" s="2">
        <v>3</v>
      </c>
      <c r="GT87" s="2">
        <v>0</v>
      </c>
      <c r="GU87" s="2" t="s">
        <v>3</v>
      </c>
      <c r="GV87" s="2">
        <f t="shared" si="109"/>
        <v>0</v>
      </c>
      <c r="GW87" s="2">
        <v>1</v>
      </c>
      <c r="GX87" s="2">
        <f t="shared" si="110"/>
        <v>0</v>
      </c>
      <c r="GY87" s="2"/>
      <c r="GZ87" s="2"/>
      <c r="HA87" s="2">
        <v>0</v>
      </c>
      <c r="HB87" s="2">
        <v>0</v>
      </c>
      <c r="HC87" s="2">
        <f t="shared" si="111"/>
        <v>0</v>
      </c>
      <c r="HD87" s="2"/>
      <c r="HE87" s="2" t="s">
        <v>3</v>
      </c>
      <c r="HF87" s="2" t="s">
        <v>3</v>
      </c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>
        <v>0</v>
      </c>
      <c r="IL87" s="2"/>
      <c r="IM87" s="2"/>
      <c r="IN87" s="2"/>
      <c r="IO87" s="2"/>
      <c r="IP87" s="2"/>
      <c r="IQ87" s="2"/>
      <c r="IR87" s="2"/>
      <c r="IS87" s="2"/>
      <c r="IT87" s="2"/>
      <c r="IU87" s="2"/>
    </row>
    <row r="88" spans="1:255" x14ac:dyDescent="0.2">
      <c r="A88">
        <v>17</v>
      </c>
      <c r="B88">
        <v>1</v>
      </c>
      <c r="C88">
        <f>ROW(SmtRes!A40)</f>
        <v>40</v>
      </c>
      <c r="D88">
        <f>ROW(EtalonRes!A40)</f>
        <v>40</v>
      </c>
      <c r="E88" t="s">
        <v>134</v>
      </c>
      <c r="F88" t="s">
        <v>36</v>
      </c>
      <c r="G88" t="s">
        <v>37</v>
      </c>
      <c r="H88" t="s">
        <v>31</v>
      </c>
      <c r="I88">
        <f>ROUND(I86/0.95*0.05,9)</f>
        <v>1.4045399999999999</v>
      </c>
      <c r="J88">
        <v>0</v>
      </c>
      <c r="O88">
        <f t="shared" si="74"/>
        <v>339.51</v>
      </c>
      <c r="P88">
        <f t="shared" si="75"/>
        <v>0</v>
      </c>
      <c r="Q88">
        <f t="shared" si="76"/>
        <v>0</v>
      </c>
      <c r="R88">
        <f t="shared" si="77"/>
        <v>0</v>
      </c>
      <c r="S88">
        <f t="shared" si="78"/>
        <v>339.51</v>
      </c>
      <c r="T88">
        <f t="shared" si="79"/>
        <v>0</v>
      </c>
      <c r="U88">
        <f t="shared" si="80"/>
        <v>1.4326307999999999</v>
      </c>
      <c r="V88">
        <f t="shared" si="81"/>
        <v>0</v>
      </c>
      <c r="W88">
        <f t="shared" si="82"/>
        <v>0</v>
      </c>
      <c r="X88">
        <f t="shared" si="83"/>
        <v>247.84</v>
      </c>
      <c r="Y88">
        <f t="shared" si="84"/>
        <v>139.19999999999999</v>
      </c>
      <c r="AA88">
        <v>45747932</v>
      </c>
      <c r="AB88">
        <f t="shared" si="85"/>
        <v>9.6199999999999992</v>
      </c>
      <c r="AC88">
        <f t="shared" si="86"/>
        <v>0</v>
      </c>
      <c r="AD88">
        <f t="shared" si="87"/>
        <v>0</v>
      </c>
      <c r="AE88">
        <f t="shared" si="88"/>
        <v>0</v>
      </c>
      <c r="AF88">
        <f t="shared" si="89"/>
        <v>9.6199999999999992</v>
      </c>
      <c r="AG88">
        <f t="shared" si="90"/>
        <v>0</v>
      </c>
      <c r="AH88">
        <f t="shared" si="91"/>
        <v>1.02</v>
      </c>
      <c r="AI88">
        <f t="shared" si="92"/>
        <v>0</v>
      </c>
      <c r="AJ88">
        <f t="shared" si="93"/>
        <v>0</v>
      </c>
      <c r="AK88">
        <v>9.6199999999999992</v>
      </c>
      <c r="AL88">
        <v>0</v>
      </c>
      <c r="AM88">
        <v>0</v>
      </c>
      <c r="AN88">
        <v>0</v>
      </c>
      <c r="AO88">
        <v>9.6199999999999992</v>
      </c>
      <c r="AP88">
        <v>0</v>
      </c>
      <c r="AQ88">
        <v>1.02</v>
      </c>
      <c r="AR88">
        <v>0</v>
      </c>
      <c r="AS88">
        <v>0</v>
      </c>
      <c r="AT88">
        <v>73</v>
      </c>
      <c r="AU88">
        <v>41</v>
      </c>
      <c r="AV88">
        <v>1</v>
      </c>
      <c r="AW88">
        <v>1</v>
      </c>
      <c r="AZ88">
        <v>1</v>
      </c>
      <c r="BA88">
        <v>25.13</v>
      </c>
      <c r="BB88">
        <v>1</v>
      </c>
      <c r="BC88">
        <v>1</v>
      </c>
      <c r="BD88" t="s">
        <v>3</v>
      </c>
      <c r="BE88" t="s">
        <v>3</v>
      </c>
      <c r="BF88" t="s">
        <v>3</v>
      </c>
      <c r="BG88" t="s">
        <v>3</v>
      </c>
      <c r="BH88">
        <v>0</v>
      </c>
      <c r="BI88">
        <v>1</v>
      </c>
      <c r="BJ88" t="s">
        <v>38</v>
      </c>
      <c r="BM88">
        <v>682</v>
      </c>
      <c r="BN88">
        <v>0</v>
      </c>
      <c r="BO88" t="s">
        <v>36</v>
      </c>
      <c r="BP88">
        <v>1</v>
      </c>
      <c r="BQ88">
        <v>60</v>
      </c>
      <c r="BR88">
        <v>0</v>
      </c>
      <c r="BS88">
        <v>25.13</v>
      </c>
      <c r="BT88">
        <v>1</v>
      </c>
      <c r="BU88">
        <v>1</v>
      </c>
      <c r="BV88">
        <v>1</v>
      </c>
      <c r="BW88">
        <v>1</v>
      </c>
      <c r="BX88">
        <v>1</v>
      </c>
      <c r="BY88" t="s">
        <v>3</v>
      </c>
      <c r="BZ88">
        <v>73</v>
      </c>
      <c r="CA88">
        <v>41</v>
      </c>
      <c r="CE88">
        <v>30</v>
      </c>
      <c r="CF88">
        <v>0</v>
      </c>
      <c r="CG88">
        <v>0</v>
      </c>
      <c r="CM88">
        <v>0</v>
      </c>
      <c r="CN88" t="s">
        <v>3</v>
      </c>
      <c r="CO88">
        <v>0</v>
      </c>
      <c r="CP88">
        <f t="shared" si="94"/>
        <v>339.51</v>
      </c>
      <c r="CQ88">
        <f t="shared" si="95"/>
        <v>0</v>
      </c>
      <c r="CR88">
        <f t="shared" si="96"/>
        <v>0</v>
      </c>
      <c r="CS88">
        <f t="shared" si="97"/>
        <v>0</v>
      </c>
      <c r="CT88">
        <f t="shared" si="98"/>
        <v>241.75</v>
      </c>
      <c r="CU88">
        <f t="shared" si="99"/>
        <v>0</v>
      </c>
      <c r="CV88">
        <f t="shared" si="100"/>
        <v>1.02</v>
      </c>
      <c r="CW88">
        <f t="shared" si="101"/>
        <v>0</v>
      </c>
      <c r="CX88">
        <f t="shared" si="102"/>
        <v>0</v>
      </c>
      <c r="CY88">
        <f>S88*(BZ88/100)</f>
        <v>247.84229999999999</v>
      </c>
      <c r="CZ88">
        <f>S88*(CA88/100)</f>
        <v>139.19909999999999</v>
      </c>
      <c r="DC88" t="s">
        <v>3</v>
      </c>
      <c r="DD88" t="s">
        <v>3</v>
      </c>
      <c r="DE88" t="s">
        <v>3</v>
      </c>
      <c r="DF88" t="s">
        <v>3</v>
      </c>
      <c r="DG88" t="s">
        <v>3</v>
      </c>
      <c r="DH88" t="s">
        <v>3</v>
      </c>
      <c r="DI88" t="s">
        <v>3</v>
      </c>
      <c r="DJ88" t="s">
        <v>3</v>
      </c>
      <c r="DK88" t="s">
        <v>3</v>
      </c>
      <c r="DL88" t="s">
        <v>3</v>
      </c>
      <c r="DM88" t="s">
        <v>3</v>
      </c>
      <c r="DN88">
        <v>91</v>
      </c>
      <c r="DO88">
        <v>70</v>
      </c>
      <c r="DP88">
        <v>1</v>
      </c>
      <c r="DQ88">
        <v>1</v>
      </c>
      <c r="DU88">
        <v>1013</v>
      </c>
      <c r="DV88" t="s">
        <v>31</v>
      </c>
      <c r="DW88" t="s">
        <v>31</v>
      </c>
      <c r="DX88">
        <v>1</v>
      </c>
      <c r="EE88">
        <v>45707142</v>
      </c>
      <c r="EF88">
        <v>60</v>
      </c>
      <c r="EG88" t="s">
        <v>25</v>
      </c>
      <c r="EH88">
        <v>0</v>
      </c>
      <c r="EI88" t="s">
        <v>3</v>
      </c>
      <c r="EJ88">
        <v>1</v>
      </c>
      <c r="EK88">
        <v>682</v>
      </c>
      <c r="EL88" t="s">
        <v>39</v>
      </c>
      <c r="EM88" t="s">
        <v>40</v>
      </c>
      <c r="EO88" t="s">
        <v>3</v>
      </c>
      <c r="EQ88">
        <v>0</v>
      </c>
      <c r="ER88">
        <v>9.6199999999999992</v>
      </c>
      <c r="ES88">
        <v>0</v>
      </c>
      <c r="ET88">
        <v>0</v>
      </c>
      <c r="EU88">
        <v>0</v>
      </c>
      <c r="EV88">
        <v>9.6199999999999992</v>
      </c>
      <c r="EW88">
        <v>1.02</v>
      </c>
      <c r="EX88">
        <v>0</v>
      </c>
      <c r="EY88">
        <v>0</v>
      </c>
      <c r="FQ88">
        <v>0</v>
      </c>
      <c r="FR88">
        <f t="shared" si="103"/>
        <v>0</v>
      </c>
      <c r="FS88">
        <v>0</v>
      </c>
      <c r="FX88">
        <v>91</v>
      </c>
      <c r="FY88">
        <v>70</v>
      </c>
      <c r="GA88" t="s">
        <v>3</v>
      </c>
      <c r="GD88">
        <v>0</v>
      </c>
      <c r="GF88">
        <v>903638064</v>
      </c>
      <c r="GG88">
        <v>2</v>
      </c>
      <c r="GH88">
        <v>1</v>
      </c>
      <c r="GI88">
        <v>2</v>
      </c>
      <c r="GJ88">
        <v>0</v>
      </c>
      <c r="GK88">
        <f>ROUND(R88*(S12)/100,2)</f>
        <v>0</v>
      </c>
      <c r="GL88">
        <f t="shared" si="104"/>
        <v>0</v>
      </c>
      <c r="GM88">
        <f t="shared" si="105"/>
        <v>726.55</v>
      </c>
      <c r="GN88">
        <f t="shared" si="106"/>
        <v>726.55</v>
      </c>
      <c r="GO88">
        <f t="shared" si="107"/>
        <v>0</v>
      </c>
      <c r="GP88">
        <f t="shared" si="108"/>
        <v>0</v>
      </c>
      <c r="GR88">
        <v>0</v>
      </c>
      <c r="GS88">
        <v>3</v>
      </c>
      <c r="GT88">
        <v>0</v>
      </c>
      <c r="GU88" t="s">
        <v>3</v>
      </c>
      <c r="GV88">
        <f t="shared" si="109"/>
        <v>0</v>
      </c>
      <c r="GW88">
        <v>1</v>
      </c>
      <c r="GX88">
        <f t="shared" si="110"/>
        <v>0</v>
      </c>
      <c r="HA88">
        <v>0</v>
      </c>
      <c r="HB88">
        <v>0</v>
      </c>
      <c r="HC88">
        <f t="shared" si="111"/>
        <v>0</v>
      </c>
      <c r="HE88" t="s">
        <v>3</v>
      </c>
      <c r="HF88" t="s">
        <v>3</v>
      </c>
      <c r="IK88">
        <v>0</v>
      </c>
    </row>
    <row r="89" spans="1:255" x14ac:dyDescent="0.2">
      <c r="A89" s="2">
        <v>17</v>
      </c>
      <c r="B89" s="2">
        <v>1</v>
      </c>
      <c r="C89" s="2">
        <f>ROW(SmtRes!A41)</f>
        <v>41</v>
      </c>
      <c r="D89" s="2">
        <f>ROW(EtalonRes!A41)</f>
        <v>41</v>
      </c>
      <c r="E89" s="2" t="s">
        <v>135</v>
      </c>
      <c r="F89" s="2" t="s">
        <v>42</v>
      </c>
      <c r="G89" s="2" t="s">
        <v>43</v>
      </c>
      <c r="H89" s="2" t="s">
        <v>44</v>
      </c>
      <c r="I89" s="2">
        <f>ROUND(I85+I87,9)</f>
        <v>28.090800000000002</v>
      </c>
      <c r="J89" s="2">
        <v>0</v>
      </c>
      <c r="K89" s="2"/>
      <c r="L89" s="2"/>
      <c r="M89" s="2"/>
      <c r="N89" s="2"/>
      <c r="O89" s="2">
        <f t="shared" si="74"/>
        <v>1595.56</v>
      </c>
      <c r="P89" s="2">
        <f t="shared" si="75"/>
        <v>0</v>
      </c>
      <c r="Q89" s="2">
        <f t="shared" si="76"/>
        <v>1595.56</v>
      </c>
      <c r="R89" s="2">
        <f t="shared" si="77"/>
        <v>0</v>
      </c>
      <c r="S89" s="2">
        <f t="shared" si="78"/>
        <v>0</v>
      </c>
      <c r="T89" s="2">
        <f t="shared" si="79"/>
        <v>0</v>
      </c>
      <c r="U89" s="2">
        <f t="shared" si="80"/>
        <v>0</v>
      </c>
      <c r="V89" s="2">
        <f t="shared" si="81"/>
        <v>0</v>
      </c>
      <c r="W89" s="2">
        <f t="shared" si="82"/>
        <v>0</v>
      </c>
      <c r="X89" s="2">
        <f t="shared" si="83"/>
        <v>0</v>
      </c>
      <c r="Y89" s="2">
        <f t="shared" si="84"/>
        <v>0</v>
      </c>
      <c r="Z89" s="2"/>
      <c r="AA89" s="2">
        <v>45748053</v>
      </c>
      <c r="AB89" s="2">
        <f t="shared" si="85"/>
        <v>56.8</v>
      </c>
      <c r="AC89" s="2">
        <f t="shared" si="86"/>
        <v>0</v>
      </c>
      <c r="AD89" s="2">
        <f t="shared" si="87"/>
        <v>56.8</v>
      </c>
      <c r="AE89" s="2">
        <f t="shared" si="88"/>
        <v>0</v>
      </c>
      <c r="AF89" s="2">
        <f t="shared" si="89"/>
        <v>0</v>
      </c>
      <c r="AG89" s="2">
        <f t="shared" si="90"/>
        <v>0</v>
      </c>
      <c r="AH89" s="2">
        <f t="shared" si="91"/>
        <v>0</v>
      </c>
      <c r="AI89" s="2">
        <f t="shared" si="92"/>
        <v>0</v>
      </c>
      <c r="AJ89" s="2">
        <f t="shared" si="93"/>
        <v>0</v>
      </c>
      <c r="AK89" s="2">
        <v>56.8</v>
      </c>
      <c r="AL89" s="2">
        <v>0</v>
      </c>
      <c r="AM89" s="2">
        <v>56.8</v>
      </c>
      <c r="AN89" s="2">
        <v>0</v>
      </c>
      <c r="AO89" s="2">
        <v>0</v>
      </c>
      <c r="AP89" s="2">
        <v>0</v>
      </c>
      <c r="AQ89" s="2">
        <v>0</v>
      </c>
      <c r="AR89" s="2">
        <v>0</v>
      </c>
      <c r="AS89" s="2">
        <v>0</v>
      </c>
      <c r="AT89" s="2">
        <v>0</v>
      </c>
      <c r="AU89" s="2">
        <v>0</v>
      </c>
      <c r="AV89" s="2">
        <v>1</v>
      </c>
      <c r="AW89" s="2">
        <v>1</v>
      </c>
      <c r="AX89" s="2"/>
      <c r="AY89" s="2"/>
      <c r="AZ89" s="2">
        <v>1</v>
      </c>
      <c r="BA89" s="2">
        <v>1</v>
      </c>
      <c r="BB89" s="2">
        <v>1</v>
      </c>
      <c r="BC89" s="2">
        <v>1</v>
      </c>
      <c r="BD89" s="2" t="s">
        <v>3</v>
      </c>
      <c r="BE89" s="2" t="s">
        <v>3</v>
      </c>
      <c r="BF89" s="2" t="s">
        <v>3</v>
      </c>
      <c r="BG89" s="2" t="s">
        <v>3</v>
      </c>
      <c r="BH89" s="2">
        <v>0</v>
      </c>
      <c r="BI89" s="2">
        <v>4</v>
      </c>
      <c r="BJ89" s="2" t="s">
        <v>45</v>
      </c>
      <c r="BK89" s="2"/>
      <c r="BL89" s="2"/>
      <c r="BM89" s="2">
        <v>1113</v>
      </c>
      <c r="BN89" s="2">
        <v>0</v>
      </c>
      <c r="BO89" s="2" t="s">
        <v>3</v>
      </c>
      <c r="BP89" s="2">
        <v>0</v>
      </c>
      <c r="BQ89" s="2">
        <v>150</v>
      </c>
      <c r="BR89" s="2">
        <v>0</v>
      </c>
      <c r="BS89" s="2">
        <v>1</v>
      </c>
      <c r="BT89" s="2">
        <v>1</v>
      </c>
      <c r="BU89" s="2">
        <v>1</v>
      </c>
      <c r="BV89" s="2">
        <v>1</v>
      </c>
      <c r="BW89" s="2">
        <v>1</v>
      </c>
      <c r="BX89" s="2">
        <v>1</v>
      </c>
      <c r="BY89" s="2" t="s">
        <v>3</v>
      </c>
      <c r="BZ89" s="2">
        <v>0</v>
      </c>
      <c r="CA89" s="2">
        <v>0</v>
      </c>
      <c r="CB89" s="2"/>
      <c r="CC89" s="2"/>
      <c r="CD89" s="2"/>
      <c r="CE89" s="2">
        <v>30</v>
      </c>
      <c r="CF89" s="2">
        <v>0</v>
      </c>
      <c r="CG89" s="2">
        <v>0</v>
      </c>
      <c r="CH89" s="2"/>
      <c r="CI89" s="2"/>
      <c r="CJ89" s="2"/>
      <c r="CK89" s="2"/>
      <c r="CL89" s="2"/>
      <c r="CM89" s="2">
        <v>0</v>
      </c>
      <c r="CN89" s="2" t="s">
        <v>3</v>
      </c>
      <c r="CO89" s="2">
        <v>0</v>
      </c>
      <c r="CP89" s="2">
        <f t="shared" si="94"/>
        <v>1595.56</v>
      </c>
      <c r="CQ89" s="2">
        <f t="shared" si="95"/>
        <v>0</v>
      </c>
      <c r="CR89" s="2">
        <f t="shared" si="96"/>
        <v>56.8</v>
      </c>
      <c r="CS89" s="2">
        <f t="shared" si="97"/>
        <v>0</v>
      </c>
      <c r="CT89" s="2">
        <f t="shared" si="98"/>
        <v>0</v>
      </c>
      <c r="CU89" s="2">
        <f t="shared" si="99"/>
        <v>0</v>
      </c>
      <c r="CV89" s="2">
        <f t="shared" si="100"/>
        <v>0</v>
      </c>
      <c r="CW89" s="2">
        <f t="shared" si="101"/>
        <v>0</v>
      </c>
      <c r="CX89" s="2">
        <f t="shared" si="102"/>
        <v>0</v>
      </c>
      <c r="CY89" s="2">
        <f>((S89*BZ89)/100)</f>
        <v>0</v>
      </c>
      <c r="CZ89" s="2">
        <f>((S89*CA89)/100)</f>
        <v>0</v>
      </c>
      <c r="DA89" s="2"/>
      <c r="DB89" s="2"/>
      <c r="DC89" s="2" t="s">
        <v>3</v>
      </c>
      <c r="DD89" s="2" t="s">
        <v>3</v>
      </c>
      <c r="DE89" s="2" t="s">
        <v>3</v>
      </c>
      <c r="DF89" s="2" t="s">
        <v>3</v>
      </c>
      <c r="DG89" s="2" t="s">
        <v>3</v>
      </c>
      <c r="DH89" s="2" t="s">
        <v>3</v>
      </c>
      <c r="DI89" s="2" t="s">
        <v>3</v>
      </c>
      <c r="DJ89" s="2" t="s">
        <v>3</v>
      </c>
      <c r="DK89" s="2" t="s">
        <v>3</v>
      </c>
      <c r="DL89" s="2" t="s">
        <v>3</v>
      </c>
      <c r="DM89" s="2" t="s">
        <v>3</v>
      </c>
      <c r="DN89" s="2">
        <v>0</v>
      </c>
      <c r="DO89" s="2">
        <v>0</v>
      </c>
      <c r="DP89" s="2">
        <v>1</v>
      </c>
      <c r="DQ89" s="2">
        <v>1</v>
      </c>
      <c r="DR89" s="2"/>
      <c r="DS89" s="2"/>
      <c r="DT89" s="2"/>
      <c r="DU89" s="2">
        <v>1009</v>
      </c>
      <c r="DV89" s="2" t="s">
        <v>44</v>
      </c>
      <c r="DW89" s="2" t="s">
        <v>44</v>
      </c>
      <c r="DX89" s="2">
        <v>1000</v>
      </c>
      <c r="DY89" s="2"/>
      <c r="DZ89" s="2"/>
      <c r="EA89" s="2"/>
      <c r="EB89" s="2"/>
      <c r="EC89" s="2"/>
      <c r="ED89" s="2"/>
      <c r="EE89" s="2">
        <v>45707573</v>
      </c>
      <c r="EF89" s="2">
        <v>150</v>
      </c>
      <c r="EG89" s="2" t="s">
        <v>46</v>
      </c>
      <c r="EH89" s="2">
        <v>0</v>
      </c>
      <c r="EI89" s="2" t="s">
        <v>3</v>
      </c>
      <c r="EJ89" s="2">
        <v>4</v>
      </c>
      <c r="EK89" s="2">
        <v>1113</v>
      </c>
      <c r="EL89" s="2" t="s">
        <v>47</v>
      </c>
      <c r="EM89" s="2" t="s">
        <v>48</v>
      </c>
      <c r="EN89" s="2"/>
      <c r="EO89" s="2" t="s">
        <v>3</v>
      </c>
      <c r="EP89" s="2"/>
      <c r="EQ89" s="2">
        <v>0</v>
      </c>
      <c r="ER89" s="2">
        <v>56.8</v>
      </c>
      <c r="ES89" s="2">
        <v>0</v>
      </c>
      <c r="ET89" s="2">
        <v>56.8</v>
      </c>
      <c r="EU89" s="2">
        <v>0</v>
      </c>
      <c r="EV89" s="2">
        <v>0</v>
      </c>
      <c r="EW89" s="2">
        <v>0</v>
      </c>
      <c r="EX89" s="2">
        <v>0</v>
      </c>
      <c r="EY89" s="2">
        <v>0</v>
      </c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>
        <v>0</v>
      </c>
      <c r="FR89" s="2">
        <f t="shared" si="103"/>
        <v>0</v>
      </c>
      <c r="FS89" s="2">
        <v>0</v>
      </c>
      <c r="FT89" s="2"/>
      <c r="FU89" s="2"/>
      <c r="FV89" s="2"/>
      <c r="FW89" s="2"/>
      <c r="FX89" s="2">
        <v>0</v>
      </c>
      <c r="FY89" s="2">
        <v>0</v>
      </c>
      <c r="FZ89" s="2"/>
      <c r="GA89" s="2" t="s">
        <v>3</v>
      </c>
      <c r="GB89" s="2"/>
      <c r="GC89" s="2"/>
      <c r="GD89" s="2">
        <v>1</v>
      </c>
      <c r="GE89" s="2"/>
      <c r="GF89" s="2">
        <v>-915290513</v>
      </c>
      <c r="GG89" s="2">
        <v>2</v>
      </c>
      <c r="GH89" s="2">
        <v>1</v>
      </c>
      <c r="GI89" s="2">
        <v>-2</v>
      </c>
      <c r="GJ89" s="2">
        <v>0</v>
      </c>
      <c r="GK89" s="2">
        <v>0</v>
      </c>
      <c r="GL89" s="2">
        <f t="shared" si="104"/>
        <v>0</v>
      </c>
      <c r="GM89" s="2">
        <f>ROUND(O89+X89+Y89,2)+GX89</f>
        <v>1595.56</v>
      </c>
      <c r="GN89" s="2">
        <f>IF(OR(BI89=0,BI89=1),ROUND(O89+X89+Y89,2),0)</f>
        <v>0</v>
      </c>
      <c r="GO89" s="2">
        <f>IF(BI89=2,ROUND(O89+X89+Y89,2),0)</f>
        <v>0</v>
      </c>
      <c r="GP89" s="2">
        <f>IF(BI89=4,ROUND(O89+X89+Y89,2)+GX89,0)</f>
        <v>1595.56</v>
      </c>
      <c r="GQ89" s="2"/>
      <c r="GR89" s="2">
        <v>0</v>
      </c>
      <c r="GS89" s="2">
        <v>3</v>
      </c>
      <c r="GT89" s="2">
        <v>0</v>
      </c>
      <c r="GU89" s="2" t="s">
        <v>3</v>
      </c>
      <c r="GV89" s="2">
        <f t="shared" si="109"/>
        <v>0</v>
      </c>
      <c r="GW89" s="2">
        <v>1</v>
      </c>
      <c r="GX89" s="2">
        <f t="shared" si="110"/>
        <v>0</v>
      </c>
      <c r="GY89" s="2"/>
      <c r="GZ89" s="2"/>
      <c r="HA89" s="2">
        <v>0</v>
      </c>
      <c r="HB89" s="2">
        <v>0</v>
      </c>
      <c r="HC89" s="2">
        <f t="shared" si="111"/>
        <v>0</v>
      </c>
      <c r="HD89" s="2"/>
      <c r="HE89" s="2" t="s">
        <v>3</v>
      </c>
      <c r="HF89" s="2" t="s">
        <v>3</v>
      </c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>
        <v>0</v>
      </c>
      <c r="IL89" s="2"/>
      <c r="IM89" s="2"/>
      <c r="IN89" s="2"/>
      <c r="IO89" s="2"/>
      <c r="IP89" s="2"/>
      <c r="IQ89" s="2"/>
      <c r="IR89" s="2"/>
      <c r="IS89" s="2"/>
      <c r="IT89" s="2"/>
      <c r="IU89" s="2"/>
    </row>
    <row r="90" spans="1:255" x14ac:dyDescent="0.2">
      <c r="A90">
        <v>17</v>
      </c>
      <c r="B90">
        <v>1</v>
      </c>
      <c r="C90">
        <f>ROW(SmtRes!A42)</f>
        <v>42</v>
      </c>
      <c r="D90">
        <f>ROW(EtalonRes!A42)</f>
        <v>42</v>
      </c>
      <c r="E90" t="s">
        <v>135</v>
      </c>
      <c r="F90" t="s">
        <v>42</v>
      </c>
      <c r="G90" t="s">
        <v>43</v>
      </c>
      <c r="H90" t="s">
        <v>44</v>
      </c>
      <c r="I90">
        <f>ROUND(I86+I88,9)</f>
        <v>28.090800000000002</v>
      </c>
      <c r="J90">
        <v>0</v>
      </c>
      <c r="O90">
        <f t="shared" si="74"/>
        <v>16466.18</v>
      </c>
      <c r="P90">
        <f t="shared" si="75"/>
        <v>0</v>
      </c>
      <c r="Q90">
        <f t="shared" si="76"/>
        <v>16466.18</v>
      </c>
      <c r="R90">
        <f t="shared" si="77"/>
        <v>0</v>
      </c>
      <c r="S90">
        <f t="shared" si="78"/>
        <v>0</v>
      </c>
      <c r="T90">
        <f t="shared" si="79"/>
        <v>0</v>
      </c>
      <c r="U90">
        <f t="shared" si="80"/>
        <v>0</v>
      </c>
      <c r="V90">
        <f t="shared" si="81"/>
        <v>0</v>
      </c>
      <c r="W90">
        <f t="shared" si="82"/>
        <v>0</v>
      </c>
      <c r="X90">
        <f t="shared" si="83"/>
        <v>0</v>
      </c>
      <c r="Y90">
        <f t="shared" si="84"/>
        <v>0</v>
      </c>
      <c r="AA90">
        <v>45747932</v>
      </c>
      <c r="AB90">
        <f t="shared" si="85"/>
        <v>56.8</v>
      </c>
      <c r="AC90">
        <f t="shared" si="86"/>
        <v>0</v>
      </c>
      <c r="AD90">
        <f t="shared" si="87"/>
        <v>56.8</v>
      </c>
      <c r="AE90">
        <f t="shared" si="88"/>
        <v>0</v>
      </c>
      <c r="AF90">
        <f t="shared" si="89"/>
        <v>0</v>
      </c>
      <c r="AG90">
        <f t="shared" si="90"/>
        <v>0</v>
      </c>
      <c r="AH90">
        <f t="shared" si="91"/>
        <v>0</v>
      </c>
      <c r="AI90">
        <f t="shared" si="92"/>
        <v>0</v>
      </c>
      <c r="AJ90">
        <f t="shared" si="93"/>
        <v>0</v>
      </c>
      <c r="AK90">
        <v>56.8</v>
      </c>
      <c r="AL90">
        <v>0</v>
      </c>
      <c r="AM90">
        <v>56.8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93</v>
      </c>
      <c r="AU90">
        <v>64</v>
      </c>
      <c r="AV90">
        <v>1</v>
      </c>
      <c r="AW90">
        <v>1</v>
      </c>
      <c r="AZ90">
        <v>1</v>
      </c>
      <c r="BA90">
        <v>1</v>
      </c>
      <c r="BB90">
        <v>10.32</v>
      </c>
      <c r="BC90">
        <v>1</v>
      </c>
      <c r="BD90" t="s">
        <v>3</v>
      </c>
      <c r="BE90" t="s">
        <v>3</v>
      </c>
      <c r="BF90" t="s">
        <v>3</v>
      </c>
      <c r="BG90" t="s">
        <v>3</v>
      </c>
      <c r="BH90">
        <v>0</v>
      </c>
      <c r="BI90">
        <v>4</v>
      </c>
      <c r="BJ90" t="s">
        <v>45</v>
      </c>
      <c r="BM90">
        <v>1113</v>
      </c>
      <c r="BN90">
        <v>0</v>
      </c>
      <c r="BO90" t="s">
        <v>42</v>
      </c>
      <c r="BP90">
        <v>1</v>
      </c>
      <c r="BQ90">
        <v>150</v>
      </c>
      <c r="BR90">
        <v>0</v>
      </c>
      <c r="BS90">
        <v>1</v>
      </c>
      <c r="BT90">
        <v>1</v>
      </c>
      <c r="BU90">
        <v>1</v>
      </c>
      <c r="BV90">
        <v>1</v>
      </c>
      <c r="BW90">
        <v>1</v>
      </c>
      <c r="BX90">
        <v>1</v>
      </c>
      <c r="BY90" t="s">
        <v>3</v>
      </c>
      <c r="BZ90">
        <v>93</v>
      </c>
      <c r="CA90">
        <v>64</v>
      </c>
      <c r="CE90">
        <v>30</v>
      </c>
      <c r="CF90">
        <v>0</v>
      </c>
      <c r="CG90">
        <v>0</v>
      </c>
      <c r="CM90">
        <v>0</v>
      </c>
      <c r="CN90" t="s">
        <v>3</v>
      </c>
      <c r="CO90">
        <v>0</v>
      </c>
      <c r="CP90">
        <f t="shared" si="94"/>
        <v>16466.18</v>
      </c>
      <c r="CQ90">
        <f t="shared" si="95"/>
        <v>0</v>
      </c>
      <c r="CR90">
        <f t="shared" si="96"/>
        <v>586.17999999999995</v>
      </c>
      <c r="CS90">
        <f t="shared" si="97"/>
        <v>0</v>
      </c>
      <c r="CT90">
        <f t="shared" si="98"/>
        <v>0</v>
      </c>
      <c r="CU90">
        <f t="shared" si="99"/>
        <v>0</v>
      </c>
      <c r="CV90">
        <f t="shared" si="100"/>
        <v>0</v>
      </c>
      <c r="CW90">
        <f t="shared" si="101"/>
        <v>0</v>
      </c>
      <c r="CX90">
        <f t="shared" si="102"/>
        <v>0</v>
      </c>
      <c r="CY90">
        <f>S90*(BZ90/100)</f>
        <v>0</v>
      </c>
      <c r="CZ90">
        <f>S90*(CA90/100)</f>
        <v>0</v>
      </c>
      <c r="DC90" t="s">
        <v>3</v>
      </c>
      <c r="DD90" t="s">
        <v>3</v>
      </c>
      <c r="DE90" t="s">
        <v>3</v>
      </c>
      <c r="DF90" t="s">
        <v>3</v>
      </c>
      <c r="DG90" t="s">
        <v>3</v>
      </c>
      <c r="DH90" t="s">
        <v>3</v>
      </c>
      <c r="DI90" t="s">
        <v>3</v>
      </c>
      <c r="DJ90" t="s">
        <v>3</v>
      </c>
      <c r="DK90" t="s">
        <v>3</v>
      </c>
      <c r="DL90" t="s">
        <v>3</v>
      </c>
      <c r="DM90" t="s">
        <v>3</v>
      </c>
      <c r="DN90">
        <v>0</v>
      </c>
      <c r="DO90">
        <v>0</v>
      </c>
      <c r="DP90">
        <v>1</v>
      </c>
      <c r="DQ90">
        <v>1</v>
      </c>
      <c r="DU90">
        <v>1009</v>
      </c>
      <c r="DV90" t="s">
        <v>44</v>
      </c>
      <c r="DW90" t="s">
        <v>44</v>
      </c>
      <c r="DX90">
        <v>1000</v>
      </c>
      <c r="EE90">
        <v>45707573</v>
      </c>
      <c r="EF90">
        <v>150</v>
      </c>
      <c r="EG90" t="s">
        <v>46</v>
      </c>
      <c r="EH90">
        <v>0</v>
      </c>
      <c r="EI90" t="s">
        <v>3</v>
      </c>
      <c r="EJ90">
        <v>4</v>
      </c>
      <c r="EK90">
        <v>1113</v>
      </c>
      <c r="EL90" t="s">
        <v>47</v>
      </c>
      <c r="EM90" t="s">
        <v>48</v>
      </c>
      <c r="EO90" t="s">
        <v>3</v>
      </c>
      <c r="EQ90">
        <v>0</v>
      </c>
      <c r="ER90">
        <v>56.8</v>
      </c>
      <c r="ES90">
        <v>0</v>
      </c>
      <c r="ET90">
        <v>56.8</v>
      </c>
      <c r="EU90">
        <v>0</v>
      </c>
      <c r="EV90">
        <v>0</v>
      </c>
      <c r="EW90">
        <v>0</v>
      </c>
      <c r="EX90">
        <v>0</v>
      </c>
      <c r="EY90">
        <v>0</v>
      </c>
      <c r="FQ90">
        <v>0</v>
      </c>
      <c r="FR90">
        <f t="shared" si="103"/>
        <v>0</v>
      </c>
      <c r="FS90">
        <v>0</v>
      </c>
      <c r="FX90">
        <v>0</v>
      </c>
      <c r="FY90">
        <v>0</v>
      </c>
      <c r="GA90" t="s">
        <v>3</v>
      </c>
      <c r="GD90">
        <v>0</v>
      </c>
      <c r="GF90">
        <v>-915290513</v>
      </c>
      <c r="GG90">
        <v>2</v>
      </c>
      <c r="GH90">
        <v>1</v>
      </c>
      <c r="GI90">
        <v>2</v>
      </c>
      <c r="GJ90">
        <v>0</v>
      </c>
      <c r="GK90">
        <f>ROUND(R90*(S12)/100,2)</f>
        <v>0</v>
      </c>
      <c r="GL90">
        <f t="shared" si="104"/>
        <v>0</v>
      </c>
      <c r="GM90">
        <f>ROUND(O90+X90+Y90+GK90,2)+GX90</f>
        <v>16466.18</v>
      </c>
      <c r="GN90">
        <f>IF(OR(BI90=0,BI90=1),ROUND(O90+X90+Y90+GK90,2),0)</f>
        <v>0</v>
      </c>
      <c r="GO90">
        <f>IF(BI90=2,ROUND(O90+X90+Y90+GK90,2),0)</f>
        <v>0</v>
      </c>
      <c r="GP90">
        <f>IF(BI90=4,ROUND(O90+X90+Y90+GK90,2)+GX90,0)</f>
        <v>16466.18</v>
      </c>
      <c r="GR90">
        <v>0</v>
      </c>
      <c r="GS90">
        <v>3</v>
      </c>
      <c r="GT90">
        <v>0</v>
      </c>
      <c r="GU90" t="s">
        <v>3</v>
      </c>
      <c r="GV90">
        <f t="shared" si="109"/>
        <v>0</v>
      </c>
      <c r="GW90">
        <v>1</v>
      </c>
      <c r="GX90">
        <f t="shared" si="110"/>
        <v>0</v>
      </c>
      <c r="HA90">
        <v>0</v>
      </c>
      <c r="HB90">
        <v>0</v>
      </c>
      <c r="HC90">
        <f t="shared" si="111"/>
        <v>0</v>
      </c>
      <c r="HE90" t="s">
        <v>3</v>
      </c>
      <c r="HF90" t="s">
        <v>3</v>
      </c>
      <c r="IK90">
        <v>0</v>
      </c>
    </row>
    <row r="91" spans="1:255" x14ac:dyDescent="0.2">
      <c r="A91" s="2">
        <v>17</v>
      </c>
      <c r="B91" s="2">
        <v>1</v>
      </c>
      <c r="C91" s="2">
        <f>ROW(SmtRes!A43)</f>
        <v>43</v>
      </c>
      <c r="D91" s="2">
        <f>ROW(EtalonRes!A43)</f>
        <v>43</v>
      </c>
      <c r="E91" s="2" t="s">
        <v>136</v>
      </c>
      <c r="F91" s="2" t="s">
        <v>137</v>
      </c>
      <c r="G91" s="2" t="s">
        <v>138</v>
      </c>
      <c r="H91" s="2" t="s">
        <v>31</v>
      </c>
      <c r="I91" s="2">
        <f>ROUND(I89,9)</f>
        <v>28.090800000000002</v>
      </c>
      <c r="J91" s="2">
        <v>0</v>
      </c>
      <c r="K91" s="2"/>
      <c r="L91" s="2"/>
      <c r="M91" s="2"/>
      <c r="N91" s="2"/>
      <c r="O91" s="2">
        <f t="shared" si="74"/>
        <v>609.85</v>
      </c>
      <c r="P91" s="2">
        <f t="shared" si="75"/>
        <v>0</v>
      </c>
      <c r="Q91" s="2">
        <f t="shared" si="76"/>
        <v>609.85</v>
      </c>
      <c r="R91" s="2">
        <f t="shared" si="77"/>
        <v>0</v>
      </c>
      <c r="S91" s="2">
        <f t="shared" si="78"/>
        <v>0</v>
      </c>
      <c r="T91" s="2">
        <f t="shared" si="79"/>
        <v>0</v>
      </c>
      <c r="U91" s="2">
        <f t="shared" si="80"/>
        <v>0</v>
      </c>
      <c r="V91" s="2">
        <f t="shared" si="81"/>
        <v>0</v>
      </c>
      <c r="W91" s="2">
        <f t="shared" si="82"/>
        <v>0</v>
      </c>
      <c r="X91" s="2">
        <f t="shared" si="83"/>
        <v>0</v>
      </c>
      <c r="Y91" s="2">
        <f t="shared" si="84"/>
        <v>0</v>
      </c>
      <c r="Z91" s="2"/>
      <c r="AA91" s="2">
        <v>45748053</v>
      </c>
      <c r="AB91" s="2">
        <f t="shared" si="85"/>
        <v>21.71</v>
      </c>
      <c r="AC91" s="2">
        <f t="shared" si="86"/>
        <v>0</v>
      </c>
      <c r="AD91" s="2">
        <f t="shared" si="87"/>
        <v>21.71</v>
      </c>
      <c r="AE91" s="2">
        <f t="shared" si="88"/>
        <v>0</v>
      </c>
      <c r="AF91" s="2">
        <f t="shared" si="89"/>
        <v>0</v>
      </c>
      <c r="AG91" s="2">
        <f t="shared" si="90"/>
        <v>0</v>
      </c>
      <c r="AH91" s="2">
        <f t="shared" si="91"/>
        <v>0</v>
      </c>
      <c r="AI91" s="2">
        <f t="shared" si="92"/>
        <v>0</v>
      </c>
      <c r="AJ91" s="2">
        <f t="shared" si="93"/>
        <v>0</v>
      </c>
      <c r="AK91" s="2">
        <v>21.71</v>
      </c>
      <c r="AL91" s="2">
        <v>0</v>
      </c>
      <c r="AM91" s="2">
        <v>21.71</v>
      </c>
      <c r="AN91" s="2">
        <v>0</v>
      </c>
      <c r="AO91" s="2">
        <v>0</v>
      </c>
      <c r="AP91" s="2">
        <v>0</v>
      </c>
      <c r="AQ91" s="2">
        <v>0</v>
      </c>
      <c r="AR91" s="2">
        <v>0</v>
      </c>
      <c r="AS91" s="2">
        <v>0</v>
      </c>
      <c r="AT91" s="2">
        <v>0</v>
      </c>
      <c r="AU91" s="2">
        <v>0</v>
      </c>
      <c r="AV91" s="2">
        <v>1</v>
      </c>
      <c r="AW91" s="2">
        <v>1</v>
      </c>
      <c r="AX91" s="2"/>
      <c r="AY91" s="2"/>
      <c r="AZ91" s="2">
        <v>1</v>
      </c>
      <c r="BA91" s="2">
        <v>1</v>
      </c>
      <c r="BB91" s="2">
        <v>1</v>
      </c>
      <c r="BC91" s="2">
        <v>1</v>
      </c>
      <c r="BD91" s="2" t="s">
        <v>3</v>
      </c>
      <c r="BE91" s="2" t="s">
        <v>3</v>
      </c>
      <c r="BF91" s="2" t="s">
        <v>3</v>
      </c>
      <c r="BG91" s="2" t="s">
        <v>3</v>
      </c>
      <c r="BH91" s="2">
        <v>0</v>
      </c>
      <c r="BI91" s="2">
        <v>4</v>
      </c>
      <c r="BJ91" s="2" t="s">
        <v>139</v>
      </c>
      <c r="BK91" s="2"/>
      <c r="BL91" s="2"/>
      <c r="BM91" s="2">
        <v>1113</v>
      </c>
      <c r="BN91" s="2">
        <v>0</v>
      </c>
      <c r="BO91" s="2" t="s">
        <v>3</v>
      </c>
      <c r="BP91" s="2">
        <v>0</v>
      </c>
      <c r="BQ91" s="2">
        <v>150</v>
      </c>
      <c r="BR91" s="2">
        <v>0</v>
      </c>
      <c r="BS91" s="2">
        <v>1</v>
      </c>
      <c r="BT91" s="2">
        <v>1</v>
      </c>
      <c r="BU91" s="2">
        <v>1</v>
      </c>
      <c r="BV91" s="2">
        <v>1</v>
      </c>
      <c r="BW91" s="2">
        <v>1</v>
      </c>
      <c r="BX91" s="2">
        <v>1</v>
      </c>
      <c r="BY91" s="2" t="s">
        <v>3</v>
      </c>
      <c r="BZ91" s="2">
        <v>0</v>
      </c>
      <c r="CA91" s="2">
        <v>0</v>
      </c>
      <c r="CB91" s="2"/>
      <c r="CC91" s="2"/>
      <c r="CD91" s="2"/>
      <c r="CE91" s="2">
        <v>30</v>
      </c>
      <c r="CF91" s="2">
        <v>0</v>
      </c>
      <c r="CG91" s="2">
        <v>0</v>
      </c>
      <c r="CH91" s="2"/>
      <c r="CI91" s="2"/>
      <c r="CJ91" s="2"/>
      <c r="CK91" s="2"/>
      <c r="CL91" s="2"/>
      <c r="CM91" s="2">
        <v>0</v>
      </c>
      <c r="CN91" s="2" t="s">
        <v>3</v>
      </c>
      <c r="CO91" s="2">
        <v>0</v>
      </c>
      <c r="CP91" s="2">
        <f t="shared" si="94"/>
        <v>609.85</v>
      </c>
      <c r="CQ91" s="2">
        <f t="shared" si="95"/>
        <v>0</v>
      </c>
      <c r="CR91" s="2">
        <f t="shared" si="96"/>
        <v>21.71</v>
      </c>
      <c r="CS91" s="2">
        <f t="shared" si="97"/>
        <v>0</v>
      </c>
      <c r="CT91" s="2">
        <f t="shared" si="98"/>
        <v>0</v>
      </c>
      <c r="CU91" s="2">
        <f t="shared" si="99"/>
        <v>0</v>
      </c>
      <c r="CV91" s="2">
        <f t="shared" si="100"/>
        <v>0</v>
      </c>
      <c r="CW91" s="2">
        <f t="shared" si="101"/>
        <v>0</v>
      </c>
      <c r="CX91" s="2">
        <f t="shared" si="102"/>
        <v>0</v>
      </c>
      <c r="CY91" s="2">
        <f>((S91*BZ91)/100)</f>
        <v>0</v>
      </c>
      <c r="CZ91" s="2">
        <f>((S91*CA91)/100)</f>
        <v>0</v>
      </c>
      <c r="DA91" s="2"/>
      <c r="DB91" s="2"/>
      <c r="DC91" s="2" t="s">
        <v>3</v>
      </c>
      <c r="DD91" s="2" t="s">
        <v>3</v>
      </c>
      <c r="DE91" s="2" t="s">
        <v>3</v>
      </c>
      <c r="DF91" s="2" t="s">
        <v>3</v>
      </c>
      <c r="DG91" s="2" t="s">
        <v>3</v>
      </c>
      <c r="DH91" s="2" t="s">
        <v>3</v>
      </c>
      <c r="DI91" s="2" t="s">
        <v>3</v>
      </c>
      <c r="DJ91" s="2" t="s">
        <v>3</v>
      </c>
      <c r="DK91" s="2" t="s">
        <v>3</v>
      </c>
      <c r="DL91" s="2" t="s">
        <v>3</v>
      </c>
      <c r="DM91" s="2" t="s">
        <v>3</v>
      </c>
      <c r="DN91" s="2">
        <v>0</v>
      </c>
      <c r="DO91" s="2">
        <v>0</v>
      </c>
      <c r="DP91" s="2">
        <v>1</v>
      </c>
      <c r="DQ91" s="2">
        <v>1</v>
      </c>
      <c r="DR91" s="2"/>
      <c r="DS91" s="2"/>
      <c r="DT91" s="2"/>
      <c r="DU91" s="2">
        <v>1013</v>
      </c>
      <c r="DV91" s="2" t="s">
        <v>31</v>
      </c>
      <c r="DW91" s="2" t="s">
        <v>31</v>
      </c>
      <c r="DX91" s="2">
        <v>1</v>
      </c>
      <c r="DY91" s="2"/>
      <c r="DZ91" s="2"/>
      <c r="EA91" s="2"/>
      <c r="EB91" s="2"/>
      <c r="EC91" s="2"/>
      <c r="ED91" s="2"/>
      <c r="EE91" s="2">
        <v>45707573</v>
      </c>
      <c r="EF91" s="2">
        <v>150</v>
      </c>
      <c r="EG91" s="2" t="s">
        <v>46</v>
      </c>
      <c r="EH91" s="2">
        <v>0</v>
      </c>
      <c r="EI91" s="2" t="s">
        <v>3</v>
      </c>
      <c r="EJ91" s="2">
        <v>4</v>
      </c>
      <c r="EK91" s="2">
        <v>1113</v>
      </c>
      <c r="EL91" s="2" t="s">
        <v>47</v>
      </c>
      <c r="EM91" s="2" t="s">
        <v>48</v>
      </c>
      <c r="EN91" s="2"/>
      <c r="EO91" s="2" t="s">
        <v>3</v>
      </c>
      <c r="EP91" s="2"/>
      <c r="EQ91" s="2">
        <v>0</v>
      </c>
      <c r="ER91" s="2">
        <v>21.71</v>
      </c>
      <c r="ES91" s="2">
        <v>0</v>
      </c>
      <c r="ET91" s="2">
        <v>21.71</v>
      </c>
      <c r="EU91" s="2">
        <v>0</v>
      </c>
      <c r="EV91" s="2">
        <v>0</v>
      </c>
      <c r="EW91" s="2">
        <v>0</v>
      </c>
      <c r="EX91" s="2">
        <v>0</v>
      </c>
      <c r="EY91" s="2">
        <v>0</v>
      </c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>
        <v>0</v>
      </c>
      <c r="FR91" s="2">
        <f t="shared" si="103"/>
        <v>0</v>
      </c>
      <c r="FS91" s="2">
        <v>0</v>
      </c>
      <c r="FT91" s="2"/>
      <c r="FU91" s="2"/>
      <c r="FV91" s="2"/>
      <c r="FW91" s="2"/>
      <c r="FX91" s="2">
        <v>0</v>
      </c>
      <c r="FY91" s="2">
        <v>0</v>
      </c>
      <c r="FZ91" s="2"/>
      <c r="GA91" s="2" t="s">
        <v>3</v>
      </c>
      <c r="GB91" s="2"/>
      <c r="GC91" s="2"/>
      <c r="GD91" s="2">
        <v>1</v>
      </c>
      <c r="GE91" s="2"/>
      <c r="GF91" s="2">
        <v>1080444953</v>
      </c>
      <c r="GG91" s="2">
        <v>2</v>
      </c>
      <c r="GH91" s="2">
        <v>1</v>
      </c>
      <c r="GI91" s="2">
        <v>-2</v>
      </c>
      <c r="GJ91" s="2">
        <v>0</v>
      </c>
      <c r="GK91" s="2">
        <v>0</v>
      </c>
      <c r="GL91" s="2">
        <f t="shared" si="104"/>
        <v>0</v>
      </c>
      <c r="GM91" s="2">
        <f>ROUND(O91+X91+Y91,2)+GX91</f>
        <v>609.85</v>
      </c>
      <c r="GN91" s="2">
        <f>IF(OR(BI91=0,BI91=1),ROUND(O91+X91+Y91,2),0)</f>
        <v>0</v>
      </c>
      <c r="GO91" s="2">
        <f>IF(BI91=2,ROUND(O91+X91+Y91,2),0)</f>
        <v>0</v>
      </c>
      <c r="GP91" s="2">
        <f>IF(BI91=4,ROUND(O91+X91+Y91,2)+GX91,0)</f>
        <v>609.85</v>
      </c>
      <c r="GQ91" s="2"/>
      <c r="GR91" s="2">
        <v>0</v>
      </c>
      <c r="GS91" s="2">
        <v>3</v>
      </c>
      <c r="GT91" s="2">
        <v>0</v>
      </c>
      <c r="GU91" s="2" t="s">
        <v>3</v>
      </c>
      <c r="GV91" s="2">
        <f t="shared" si="109"/>
        <v>0</v>
      </c>
      <c r="GW91" s="2">
        <v>1</v>
      </c>
      <c r="GX91" s="2">
        <f t="shared" si="110"/>
        <v>0</v>
      </c>
      <c r="GY91" s="2"/>
      <c r="GZ91" s="2"/>
      <c r="HA91" s="2">
        <v>0</v>
      </c>
      <c r="HB91" s="2">
        <v>0</v>
      </c>
      <c r="HC91" s="2">
        <f t="shared" si="111"/>
        <v>0</v>
      </c>
      <c r="HD91" s="2"/>
      <c r="HE91" s="2" t="s">
        <v>3</v>
      </c>
      <c r="HF91" s="2" t="s">
        <v>3</v>
      </c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>
        <v>0</v>
      </c>
      <c r="IL91" s="2"/>
      <c r="IM91" s="2"/>
      <c r="IN91" s="2"/>
      <c r="IO91" s="2"/>
      <c r="IP91" s="2"/>
      <c r="IQ91" s="2"/>
      <c r="IR91" s="2"/>
      <c r="IS91" s="2"/>
      <c r="IT91" s="2"/>
      <c r="IU91" s="2"/>
    </row>
    <row r="92" spans="1:255" x14ac:dyDescent="0.2">
      <c r="A92">
        <v>17</v>
      </c>
      <c r="B92">
        <v>1</v>
      </c>
      <c r="C92">
        <f>ROW(SmtRes!A44)</f>
        <v>44</v>
      </c>
      <c r="D92">
        <f>ROW(EtalonRes!A44)</f>
        <v>44</v>
      </c>
      <c r="E92" t="s">
        <v>136</v>
      </c>
      <c r="F92" t="s">
        <v>137</v>
      </c>
      <c r="G92" t="s">
        <v>138</v>
      </c>
      <c r="H92" t="s">
        <v>31</v>
      </c>
      <c r="I92">
        <f>ROUND(I90,9)</f>
        <v>28.090800000000002</v>
      </c>
      <c r="J92">
        <v>0</v>
      </c>
      <c r="O92">
        <f t="shared" si="74"/>
        <v>4653.16</v>
      </c>
      <c r="P92">
        <f t="shared" si="75"/>
        <v>0</v>
      </c>
      <c r="Q92">
        <f t="shared" si="76"/>
        <v>4653.16</v>
      </c>
      <c r="R92">
        <f t="shared" si="77"/>
        <v>0</v>
      </c>
      <c r="S92">
        <f t="shared" si="78"/>
        <v>0</v>
      </c>
      <c r="T92">
        <f t="shared" si="79"/>
        <v>0</v>
      </c>
      <c r="U92">
        <f t="shared" si="80"/>
        <v>0</v>
      </c>
      <c r="V92">
        <f t="shared" si="81"/>
        <v>0</v>
      </c>
      <c r="W92">
        <f t="shared" si="82"/>
        <v>0</v>
      </c>
      <c r="X92">
        <f t="shared" si="83"/>
        <v>0</v>
      </c>
      <c r="Y92">
        <f t="shared" si="84"/>
        <v>0</v>
      </c>
      <c r="AA92">
        <v>45747932</v>
      </c>
      <c r="AB92">
        <f t="shared" si="85"/>
        <v>21.71</v>
      </c>
      <c r="AC92">
        <f t="shared" si="86"/>
        <v>0</v>
      </c>
      <c r="AD92">
        <f t="shared" si="87"/>
        <v>21.71</v>
      </c>
      <c r="AE92">
        <f t="shared" si="88"/>
        <v>0</v>
      </c>
      <c r="AF92">
        <f t="shared" si="89"/>
        <v>0</v>
      </c>
      <c r="AG92">
        <f t="shared" si="90"/>
        <v>0</v>
      </c>
      <c r="AH92">
        <f t="shared" si="91"/>
        <v>0</v>
      </c>
      <c r="AI92">
        <f t="shared" si="92"/>
        <v>0</v>
      </c>
      <c r="AJ92">
        <f t="shared" si="93"/>
        <v>0</v>
      </c>
      <c r="AK92">
        <v>21.71</v>
      </c>
      <c r="AL92">
        <v>0</v>
      </c>
      <c r="AM92">
        <v>21.71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93</v>
      </c>
      <c r="AU92">
        <v>64</v>
      </c>
      <c r="AV92">
        <v>1</v>
      </c>
      <c r="AW92">
        <v>1</v>
      </c>
      <c r="AZ92">
        <v>1</v>
      </c>
      <c r="BA92">
        <v>1</v>
      </c>
      <c r="BB92">
        <v>7.63</v>
      </c>
      <c r="BC92">
        <v>1</v>
      </c>
      <c r="BD92" t="s">
        <v>3</v>
      </c>
      <c r="BE92" t="s">
        <v>3</v>
      </c>
      <c r="BF92" t="s">
        <v>3</v>
      </c>
      <c r="BG92" t="s">
        <v>3</v>
      </c>
      <c r="BH92">
        <v>0</v>
      </c>
      <c r="BI92">
        <v>4</v>
      </c>
      <c r="BJ92" t="s">
        <v>139</v>
      </c>
      <c r="BM92">
        <v>1113</v>
      </c>
      <c r="BN92">
        <v>0</v>
      </c>
      <c r="BO92" t="s">
        <v>137</v>
      </c>
      <c r="BP92">
        <v>1</v>
      </c>
      <c r="BQ92">
        <v>150</v>
      </c>
      <c r="BR92">
        <v>0</v>
      </c>
      <c r="BS92">
        <v>1</v>
      </c>
      <c r="BT92">
        <v>1</v>
      </c>
      <c r="BU92">
        <v>1</v>
      </c>
      <c r="BV92">
        <v>1</v>
      </c>
      <c r="BW92">
        <v>1</v>
      </c>
      <c r="BX92">
        <v>1</v>
      </c>
      <c r="BY92" t="s">
        <v>3</v>
      </c>
      <c r="BZ92">
        <v>93</v>
      </c>
      <c r="CA92">
        <v>64</v>
      </c>
      <c r="CE92">
        <v>30</v>
      </c>
      <c r="CF92">
        <v>0</v>
      </c>
      <c r="CG92">
        <v>0</v>
      </c>
      <c r="CM92">
        <v>0</v>
      </c>
      <c r="CN92" t="s">
        <v>3</v>
      </c>
      <c r="CO92">
        <v>0</v>
      </c>
      <c r="CP92">
        <f t="shared" si="94"/>
        <v>4653.16</v>
      </c>
      <c r="CQ92">
        <f t="shared" si="95"/>
        <v>0</v>
      </c>
      <c r="CR92">
        <f t="shared" si="96"/>
        <v>165.65</v>
      </c>
      <c r="CS92">
        <f t="shared" si="97"/>
        <v>0</v>
      </c>
      <c r="CT92">
        <f t="shared" si="98"/>
        <v>0</v>
      </c>
      <c r="CU92">
        <f t="shared" si="99"/>
        <v>0</v>
      </c>
      <c r="CV92">
        <f t="shared" si="100"/>
        <v>0</v>
      </c>
      <c r="CW92">
        <f t="shared" si="101"/>
        <v>0</v>
      </c>
      <c r="CX92">
        <f t="shared" si="102"/>
        <v>0</v>
      </c>
      <c r="CY92">
        <f>S92*(BZ92/100)</f>
        <v>0</v>
      </c>
      <c r="CZ92">
        <f>S92*(CA92/100)</f>
        <v>0</v>
      </c>
      <c r="DC92" t="s">
        <v>3</v>
      </c>
      <c r="DD92" t="s">
        <v>3</v>
      </c>
      <c r="DE92" t="s">
        <v>3</v>
      </c>
      <c r="DF92" t="s">
        <v>3</v>
      </c>
      <c r="DG92" t="s">
        <v>3</v>
      </c>
      <c r="DH92" t="s">
        <v>3</v>
      </c>
      <c r="DI92" t="s">
        <v>3</v>
      </c>
      <c r="DJ92" t="s">
        <v>3</v>
      </c>
      <c r="DK92" t="s">
        <v>3</v>
      </c>
      <c r="DL92" t="s">
        <v>3</v>
      </c>
      <c r="DM92" t="s">
        <v>3</v>
      </c>
      <c r="DN92">
        <v>0</v>
      </c>
      <c r="DO92">
        <v>0</v>
      </c>
      <c r="DP92">
        <v>1</v>
      </c>
      <c r="DQ92">
        <v>1</v>
      </c>
      <c r="DU92">
        <v>1013</v>
      </c>
      <c r="DV92" t="s">
        <v>31</v>
      </c>
      <c r="DW92" t="s">
        <v>31</v>
      </c>
      <c r="DX92">
        <v>1</v>
      </c>
      <c r="EE92">
        <v>45707573</v>
      </c>
      <c r="EF92">
        <v>150</v>
      </c>
      <c r="EG92" t="s">
        <v>46</v>
      </c>
      <c r="EH92">
        <v>0</v>
      </c>
      <c r="EI92" t="s">
        <v>3</v>
      </c>
      <c r="EJ92">
        <v>4</v>
      </c>
      <c r="EK92">
        <v>1113</v>
      </c>
      <c r="EL92" t="s">
        <v>47</v>
      </c>
      <c r="EM92" t="s">
        <v>48</v>
      </c>
      <c r="EO92" t="s">
        <v>3</v>
      </c>
      <c r="EQ92">
        <v>0</v>
      </c>
      <c r="ER92">
        <v>21.71</v>
      </c>
      <c r="ES92">
        <v>0</v>
      </c>
      <c r="ET92">
        <v>21.71</v>
      </c>
      <c r="EU92">
        <v>0</v>
      </c>
      <c r="EV92">
        <v>0</v>
      </c>
      <c r="EW92">
        <v>0</v>
      </c>
      <c r="EX92">
        <v>0</v>
      </c>
      <c r="EY92">
        <v>0</v>
      </c>
      <c r="FQ92">
        <v>0</v>
      </c>
      <c r="FR92">
        <f t="shared" si="103"/>
        <v>0</v>
      </c>
      <c r="FS92">
        <v>0</v>
      </c>
      <c r="FX92">
        <v>0</v>
      </c>
      <c r="FY92">
        <v>0</v>
      </c>
      <c r="GA92" t="s">
        <v>3</v>
      </c>
      <c r="GD92">
        <v>0</v>
      </c>
      <c r="GF92">
        <v>1080444953</v>
      </c>
      <c r="GG92">
        <v>2</v>
      </c>
      <c r="GH92">
        <v>1</v>
      </c>
      <c r="GI92">
        <v>2</v>
      </c>
      <c r="GJ92">
        <v>0</v>
      </c>
      <c r="GK92">
        <f>ROUND(R92*(S12)/100,2)</f>
        <v>0</v>
      </c>
      <c r="GL92">
        <f t="shared" si="104"/>
        <v>0</v>
      </c>
      <c r="GM92">
        <f t="shared" ref="GM92:GM110" si="112">ROUND(O92+X92+Y92+GK92,2)+GX92</f>
        <v>4653.16</v>
      </c>
      <c r="GN92">
        <f t="shared" ref="GN92:GN110" si="113">IF(OR(BI92=0,BI92=1),ROUND(O92+X92+Y92+GK92,2),0)</f>
        <v>0</v>
      </c>
      <c r="GO92">
        <f t="shared" ref="GO92:GO110" si="114">IF(BI92=2,ROUND(O92+X92+Y92+GK92,2),0)</f>
        <v>0</v>
      </c>
      <c r="GP92">
        <f t="shared" ref="GP92:GP110" si="115">IF(BI92=4,ROUND(O92+X92+Y92+GK92,2)+GX92,0)</f>
        <v>4653.16</v>
      </c>
      <c r="GR92">
        <v>0</v>
      </c>
      <c r="GS92">
        <v>3</v>
      </c>
      <c r="GT92">
        <v>0</v>
      </c>
      <c r="GU92" t="s">
        <v>3</v>
      </c>
      <c r="GV92">
        <f t="shared" si="109"/>
        <v>0</v>
      </c>
      <c r="GW92">
        <v>1</v>
      </c>
      <c r="GX92">
        <f t="shared" si="110"/>
        <v>0</v>
      </c>
      <c r="HA92">
        <v>0</v>
      </c>
      <c r="HB92">
        <v>0</v>
      </c>
      <c r="HC92">
        <f t="shared" si="111"/>
        <v>0</v>
      </c>
      <c r="HE92" t="s">
        <v>3</v>
      </c>
      <c r="HF92" t="s">
        <v>3</v>
      </c>
      <c r="IK92">
        <v>0</v>
      </c>
    </row>
    <row r="93" spans="1:255" x14ac:dyDescent="0.2">
      <c r="A93" s="2">
        <v>17</v>
      </c>
      <c r="B93" s="2">
        <v>1</v>
      </c>
      <c r="C93" s="2">
        <f>ROW(SmtRes!A52)</f>
        <v>52</v>
      </c>
      <c r="D93" s="2">
        <f>ROW(EtalonRes!A52)</f>
        <v>52</v>
      </c>
      <c r="E93" s="2" t="s">
        <v>140</v>
      </c>
      <c r="F93" s="2" t="s">
        <v>141</v>
      </c>
      <c r="G93" s="2" t="s">
        <v>142</v>
      </c>
      <c r="H93" s="2" t="s">
        <v>143</v>
      </c>
      <c r="I93" s="2">
        <f>ROUND(I83*0.35*0.1,9)</f>
        <v>3.5700000000000003E-2</v>
      </c>
      <c r="J93" s="2">
        <v>0</v>
      </c>
      <c r="K93" s="2"/>
      <c r="L93" s="2"/>
      <c r="M93" s="2"/>
      <c r="N93" s="2"/>
      <c r="O93" s="2">
        <f t="shared" si="74"/>
        <v>33.270000000000003</v>
      </c>
      <c r="P93" s="2">
        <f t="shared" si="75"/>
        <v>1.26</v>
      </c>
      <c r="Q93" s="2">
        <f t="shared" si="76"/>
        <v>26.6</v>
      </c>
      <c r="R93" s="2">
        <f t="shared" si="77"/>
        <v>3.78</v>
      </c>
      <c r="S93" s="2">
        <f t="shared" si="78"/>
        <v>5.41</v>
      </c>
      <c r="T93" s="2">
        <f t="shared" si="79"/>
        <v>0</v>
      </c>
      <c r="U93" s="2">
        <f t="shared" si="80"/>
        <v>0.51408000000000009</v>
      </c>
      <c r="V93" s="2">
        <f t="shared" si="81"/>
        <v>0</v>
      </c>
      <c r="W93" s="2">
        <f t="shared" si="82"/>
        <v>0</v>
      </c>
      <c r="X93" s="2">
        <f t="shared" si="83"/>
        <v>8.7100000000000009</v>
      </c>
      <c r="Y93" s="2">
        <f t="shared" si="84"/>
        <v>5.79</v>
      </c>
      <c r="Z93" s="2"/>
      <c r="AA93" s="2">
        <v>45748053</v>
      </c>
      <c r="AB93" s="2">
        <f t="shared" si="85"/>
        <v>932.02</v>
      </c>
      <c r="AC93" s="2">
        <f t="shared" si="86"/>
        <v>35.35</v>
      </c>
      <c r="AD93" s="2">
        <f t="shared" si="87"/>
        <v>745.18</v>
      </c>
      <c r="AE93" s="2">
        <f t="shared" si="88"/>
        <v>105.99</v>
      </c>
      <c r="AF93" s="2">
        <f t="shared" si="89"/>
        <v>151.49</v>
      </c>
      <c r="AG93" s="2">
        <f t="shared" si="90"/>
        <v>0</v>
      </c>
      <c r="AH93" s="2">
        <f t="shared" si="91"/>
        <v>14.4</v>
      </c>
      <c r="AI93" s="2">
        <f t="shared" si="92"/>
        <v>0</v>
      </c>
      <c r="AJ93" s="2">
        <f t="shared" si="93"/>
        <v>0</v>
      </c>
      <c r="AK93" s="2">
        <v>932.02</v>
      </c>
      <c r="AL93" s="2">
        <v>35.35</v>
      </c>
      <c r="AM93" s="2">
        <v>745.18</v>
      </c>
      <c r="AN93" s="2">
        <v>105.99</v>
      </c>
      <c r="AO93" s="2">
        <v>151.49</v>
      </c>
      <c r="AP93" s="2">
        <v>0</v>
      </c>
      <c r="AQ93" s="2">
        <v>14.4</v>
      </c>
      <c r="AR93" s="2">
        <v>0</v>
      </c>
      <c r="AS93" s="2">
        <v>0</v>
      </c>
      <c r="AT93" s="2">
        <v>161</v>
      </c>
      <c r="AU93" s="2">
        <v>107</v>
      </c>
      <c r="AV93" s="2">
        <v>1</v>
      </c>
      <c r="AW93" s="2">
        <v>1</v>
      </c>
      <c r="AX93" s="2"/>
      <c r="AY93" s="2"/>
      <c r="AZ93" s="2">
        <v>1</v>
      </c>
      <c r="BA93" s="2">
        <v>1</v>
      </c>
      <c r="BB93" s="2">
        <v>1</v>
      </c>
      <c r="BC93" s="2">
        <v>1</v>
      </c>
      <c r="BD93" s="2" t="s">
        <v>3</v>
      </c>
      <c r="BE93" s="2" t="s">
        <v>3</v>
      </c>
      <c r="BF93" s="2" t="s">
        <v>3</v>
      </c>
      <c r="BG93" s="2" t="s">
        <v>3</v>
      </c>
      <c r="BH93" s="2">
        <v>0</v>
      </c>
      <c r="BI93" s="2">
        <v>1</v>
      </c>
      <c r="BJ93" s="2" t="s">
        <v>144</v>
      </c>
      <c r="BK93" s="2"/>
      <c r="BL93" s="2"/>
      <c r="BM93" s="2">
        <v>146</v>
      </c>
      <c r="BN93" s="2">
        <v>0</v>
      </c>
      <c r="BO93" s="2" t="s">
        <v>3</v>
      </c>
      <c r="BP93" s="2">
        <v>0</v>
      </c>
      <c r="BQ93" s="2">
        <v>30</v>
      </c>
      <c r="BR93" s="2">
        <v>0</v>
      </c>
      <c r="BS93" s="2">
        <v>1</v>
      </c>
      <c r="BT93" s="2">
        <v>1</v>
      </c>
      <c r="BU93" s="2">
        <v>1</v>
      </c>
      <c r="BV93" s="2">
        <v>1</v>
      </c>
      <c r="BW93" s="2">
        <v>1</v>
      </c>
      <c r="BX93" s="2">
        <v>1</v>
      </c>
      <c r="BY93" s="2" t="s">
        <v>3</v>
      </c>
      <c r="BZ93" s="2">
        <v>161</v>
      </c>
      <c r="CA93" s="2">
        <v>107</v>
      </c>
      <c r="CB93" s="2"/>
      <c r="CC93" s="2"/>
      <c r="CD93" s="2"/>
      <c r="CE93" s="2">
        <v>30</v>
      </c>
      <c r="CF93" s="2">
        <v>0</v>
      </c>
      <c r="CG93" s="2">
        <v>0</v>
      </c>
      <c r="CH93" s="2"/>
      <c r="CI93" s="2"/>
      <c r="CJ93" s="2"/>
      <c r="CK93" s="2"/>
      <c r="CL93" s="2"/>
      <c r="CM93" s="2">
        <v>0</v>
      </c>
      <c r="CN93" s="2" t="s">
        <v>3</v>
      </c>
      <c r="CO93" s="2">
        <v>0</v>
      </c>
      <c r="CP93" s="2">
        <f t="shared" si="94"/>
        <v>33.270000000000003</v>
      </c>
      <c r="CQ93" s="2">
        <f t="shared" si="95"/>
        <v>35.35</v>
      </c>
      <c r="CR93" s="2">
        <f t="shared" si="96"/>
        <v>745.18</v>
      </c>
      <c r="CS93" s="2">
        <f t="shared" si="97"/>
        <v>105.99</v>
      </c>
      <c r="CT93" s="2">
        <f t="shared" si="98"/>
        <v>151.49</v>
      </c>
      <c r="CU93" s="2">
        <f t="shared" si="99"/>
        <v>0</v>
      </c>
      <c r="CV93" s="2">
        <f t="shared" si="100"/>
        <v>14.4</v>
      </c>
      <c r="CW93" s="2">
        <f t="shared" si="101"/>
        <v>0</v>
      </c>
      <c r="CX93" s="2">
        <f t="shared" si="102"/>
        <v>0</v>
      </c>
      <c r="CY93" s="2">
        <f>((S93*BZ93)/100)</f>
        <v>8.7101000000000006</v>
      </c>
      <c r="CZ93" s="2">
        <f>((S93*CA93)/100)</f>
        <v>5.7887000000000004</v>
      </c>
      <c r="DA93" s="2"/>
      <c r="DB93" s="2"/>
      <c r="DC93" s="2" t="s">
        <v>3</v>
      </c>
      <c r="DD93" s="2" t="s">
        <v>3</v>
      </c>
      <c r="DE93" s="2" t="s">
        <v>3</v>
      </c>
      <c r="DF93" s="2" t="s">
        <v>3</v>
      </c>
      <c r="DG93" s="2" t="s">
        <v>3</v>
      </c>
      <c r="DH93" s="2" t="s">
        <v>3</v>
      </c>
      <c r="DI93" s="2" t="s">
        <v>3</v>
      </c>
      <c r="DJ93" s="2" t="s">
        <v>3</v>
      </c>
      <c r="DK93" s="2" t="s">
        <v>3</v>
      </c>
      <c r="DL93" s="2" t="s">
        <v>3</v>
      </c>
      <c r="DM93" s="2" t="s">
        <v>3</v>
      </c>
      <c r="DN93" s="2">
        <v>0</v>
      </c>
      <c r="DO93" s="2">
        <v>0</v>
      </c>
      <c r="DP93" s="2">
        <v>1</v>
      </c>
      <c r="DQ93" s="2">
        <v>1</v>
      </c>
      <c r="DR93" s="2"/>
      <c r="DS93" s="2"/>
      <c r="DT93" s="2"/>
      <c r="DU93" s="2">
        <v>1013</v>
      </c>
      <c r="DV93" s="2" t="s">
        <v>143</v>
      </c>
      <c r="DW93" s="2" t="s">
        <v>143</v>
      </c>
      <c r="DX93" s="2">
        <v>1</v>
      </c>
      <c r="DY93" s="2"/>
      <c r="DZ93" s="2"/>
      <c r="EA93" s="2"/>
      <c r="EB93" s="2"/>
      <c r="EC93" s="2"/>
      <c r="ED93" s="2"/>
      <c r="EE93" s="2">
        <v>45706606</v>
      </c>
      <c r="EF93" s="2">
        <v>30</v>
      </c>
      <c r="EG93" s="2" t="s">
        <v>58</v>
      </c>
      <c r="EH93" s="2">
        <v>0</v>
      </c>
      <c r="EI93" s="2" t="s">
        <v>3</v>
      </c>
      <c r="EJ93" s="2">
        <v>1</v>
      </c>
      <c r="EK93" s="2">
        <v>146</v>
      </c>
      <c r="EL93" s="2" t="s">
        <v>145</v>
      </c>
      <c r="EM93" s="2" t="s">
        <v>146</v>
      </c>
      <c r="EN93" s="2"/>
      <c r="EO93" s="2" t="s">
        <v>3</v>
      </c>
      <c r="EP93" s="2"/>
      <c r="EQ93" s="2">
        <v>0</v>
      </c>
      <c r="ER93" s="2">
        <v>932.02</v>
      </c>
      <c r="ES93" s="2">
        <v>35.35</v>
      </c>
      <c r="ET93" s="2">
        <v>745.18</v>
      </c>
      <c r="EU93" s="2">
        <v>105.99</v>
      </c>
      <c r="EV93" s="2">
        <v>151.49</v>
      </c>
      <c r="EW93" s="2">
        <v>14.4</v>
      </c>
      <c r="EX93" s="2">
        <v>0</v>
      </c>
      <c r="EY93" s="2">
        <v>0</v>
      </c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>
        <v>0</v>
      </c>
      <c r="FR93" s="2">
        <f t="shared" si="103"/>
        <v>0</v>
      </c>
      <c r="FS93" s="2">
        <v>0</v>
      </c>
      <c r="FT93" s="2"/>
      <c r="FU93" s="2"/>
      <c r="FV93" s="2"/>
      <c r="FW93" s="2"/>
      <c r="FX93" s="2">
        <v>161</v>
      </c>
      <c r="FY93" s="2">
        <v>107</v>
      </c>
      <c r="FZ93" s="2"/>
      <c r="GA93" s="2" t="s">
        <v>3</v>
      </c>
      <c r="GB93" s="2"/>
      <c r="GC93" s="2"/>
      <c r="GD93" s="2">
        <v>0</v>
      </c>
      <c r="GE93" s="2"/>
      <c r="GF93" s="2">
        <v>-1013438321</v>
      </c>
      <c r="GG93" s="2">
        <v>2</v>
      </c>
      <c r="GH93" s="2">
        <v>1</v>
      </c>
      <c r="GI93" s="2">
        <v>-2</v>
      </c>
      <c r="GJ93" s="2">
        <v>0</v>
      </c>
      <c r="GK93" s="2">
        <f>ROUND(R93*(R12)/100,2)</f>
        <v>6.62</v>
      </c>
      <c r="GL93" s="2">
        <f t="shared" si="104"/>
        <v>0</v>
      </c>
      <c r="GM93" s="2">
        <f t="shared" si="112"/>
        <v>54.39</v>
      </c>
      <c r="GN93" s="2">
        <f t="shared" si="113"/>
        <v>54.39</v>
      </c>
      <c r="GO93" s="2">
        <f t="shared" si="114"/>
        <v>0</v>
      </c>
      <c r="GP93" s="2">
        <f t="shared" si="115"/>
        <v>0</v>
      </c>
      <c r="GQ93" s="2"/>
      <c r="GR93" s="2">
        <v>0</v>
      </c>
      <c r="GS93" s="2">
        <v>3</v>
      </c>
      <c r="GT93" s="2">
        <v>0</v>
      </c>
      <c r="GU93" s="2" t="s">
        <v>3</v>
      </c>
      <c r="GV93" s="2">
        <f t="shared" si="109"/>
        <v>0</v>
      </c>
      <c r="GW93" s="2">
        <v>1</v>
      </c>
      <c r="GX93" s="2">
        <f t="shared" si="110"/>
        <v>0</v>
      </c>
      <c r="GY93" s="2"/>
      <c r="GZ93" s="2"/>
      <c r="HA93" s="2">
        <v>0</v>
      </c>
      <c r="HB93" s="2">
        <v>0</v>
      </c>
      <c r="HC93" s="2">
        <f t="shared" si="111"/>
        <v>0</v>
      </c>
      <c r="HD93" s="2"/>
      <c r="HE93" s="2" t="s">
        <v>3</v>
      </c>
      <c r="HF93" s="2" t="s">
        <v>3</v>
      </c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>
        <v>0</v>
      </c>
      <c r="IL93" s="2"/>
      <c r="IM93" s="2"/>
      <c r="IN93" s="2"/>
      <c r="IO93" s="2"/>
      <c r="IP93" s="2"/>
      <c r="IQ93" s="2"/>
      <c r="IR93" s="2"/>
      <c r="IS93" s="2"/>
      <c r="IT93" s="2"/>
      <c r="IU93" s="2"/>
    </row>
    <row r="94" spans="1:255" x14ac:dyDescent="0.2">
      <c r="A94">
        <v>17</v>
      </c>
      <c r="B94">
        <v>1</v>
      </c>
      <c r="C94">
        <f>ROW(SmtRes!A60)</f>
        <v>60</v>
      </c>
      <c r="D94">
        <f>ROW(EtalonRes!A60)</f>
        <v>60</v>
      </c>
      <c r="E94" t="s">
        <v>140</v>
      </c>
      <c r="F94" t="s">
        <v>141</v>
      </c>
      <c r="G94" t="s">
        <v>142</v>
      </c>
      <c r="H94" t="s">
        <v>143</v>
      </c>
      <c r="I94">
        <f>ROUND(I84*0.35*0.1,9)</f>
        <v>3.5700000000000003E-2</v>
      </c>
      <c r="J94">
        <v>0</v>
      </c>
      <c r="O94">
        <f t="shared" si="74"/>
        <v>398.66</v>
      </c>
      <c r="P94">
        <f t="shared" si="75"/>
        <v>6.29</v>
      </c>
      <c r="Q94">
        <f t="shared" si="76"/>
        <v>256.42</v>
      </c>
      <c r="R94">
        <f t="shared" si="77"/>
        <v>94.99</v>
      </c>
      <c r="S94">
        <f t="shared" si="78"/>
        <v>135.94999999999999</v>
      </c>
      <c r="T94">
        <f t="shared" si="79"/>
        <v>0</v>
      </c>
      <c r="U94">
        <f t="shared" si="80"/>
        <v>0.51408000000000009</v>
      </c>
      <c r="V94">
        <f t="shared" si="81"/>
        <v>0</v>
      </c>
      <c r="W94">
        <f t="shared" si="82"/>
        <v>0</v>
      </c>
      <c r="X94">
        <f t="shared" si="83"/>
        <v>178.09</v>
      </c>
      <c r="Y94">
        <f t="shared" si="84"/>
        <v>73.41</v>
      </c>
      <c r="AA94">
        <v>45747932</v>
      </c>
      <c r="AB94">
        <f t="shared" si="85"/>
        <v>932.02</v>
      </c>
      <c r="AC94">
        <f t="shared" si="86"/>
        <v>35.35</v>
      </c>
      <c r="AD94">
        <f t="shared" si="87"/>
        <v>745.18</v>
      </c>
      <c r="AE94">
        <f t="shared" si="88"/>
        <v>105.99</v>
      </c>
      <c r="AF94">
        <f t="shared" si="89"/>
        <v>151.49</v>
      </c>
      <c r="AG94">
        <f t="shared" si="90"/>
        <v>0</v>
      </c>
      <c r="AH94">
        <f t="shared" si="91"/>
        <v>14.4</v>
      </c>
      <c r="AI94">
        <f t="shared" si="92"/>
        <v>0</v>
      </c>
      <c r="AJ94">
        <f t="shared" si="93"/>
        <v>0</v>
      </c>
      <c r="AK94">
        <v>932.02</v>
      </c>
      <c r="AL94">
        <v>35.35</v>
      </c>
      <c r="AM94">
        <v>745.18</v>
      </c>
      <c r="AN94">
        <v>105.99</v>
      </c>
      <c r="AO94">
        <v>151.49</v>
      </c>
      <c r="AP94">
        <v>0</v>
      </c>
      <c r="AQ94">
        <v>14.4</v>
      </c>
      <c r="AR94">
        <v>0</v>
      </c>
      <c r="AS94">
        <v>0</v>
      </c>
      <c r="AT94">
        <v>131</v>
      </c>
      <c r="AU94">
        <v>54</v>
      </c>
      <c r="AV94">
        <v>1</v>
      </c>
      <c r="AW94">
        <v>1</v>
      </c>
      <c r="AZ94">
        <v>1</v>
      </c>
      <c r="BA94">
        <v>25.13</v>
      </c>
      <c r="BB94">
        <v>9.64</v>
      </c>
      <c r="BC94">
        <v>4.99</v>
      </c>
      <c r="BD94" t="s">
        <v>3</v>
      </c>
      <c r="BE94" t="s">
        <v>3</v>
      </c>
      <c r="BF94" t="s">
        <v>3</v>
      </c>
      <c r="BG94" t="s">
        <v>3</v>
      </c>
      <c r="BH94">
        <v>0</v>
      </c>
      <c r="BI94">
        <v>1</v>
      </c>
      <c r="BJ94" t="s">
        <v>144</v>
      </c>
      <c r="BM94">
        <v>146</v>
      </c>
      <c r="BN94">
        <v>0</v>
      </c>
      <c r="BO94" t="s">
        <v>141</v>
      </c>
      <c r="BP94">
        <v>1</v>
      </c>
      <c r="BQ94">
        <v>30</v>
      </c>
      <c r="BR94">
        <v>0</v>
      </c>
      <c r="BS94">
        <v>25.13</v>
      </c>
      <c r="BT94">
        <v>1</v>
      </c>
      <c r="BU94">
        <v>1</v>
      </c>
      <c r="BV94">
        <v>1</v>
      </c>
      <c r="BW94">
        <v>1</v>
      </c>
      <c r="BX94">
        <v>1</v>
      </c>
      <c r="BY94" t="s">
        <v>3</v>
      </c>
      <c r="BZ94">
        <v>131</v>
      </c>
      <c r="CA94">
        <v>54</v>
      </c>
      <c r="CE94">
        <v>30</v>
      </c>
      <c r="CF94">
        <v>0</v>
      </c>
      <c r="CG94">
        <v>0</v>
      </c>
      <c r="CM94">
        <v>0</v>
      </c>
      <c r="CN94" t="s">
        <v>3</v>
      </c>
      <c r="CO94">
        <v>0</v>
      </c>
      <c r="CP94">
        <f t="shared" si="94"/>
        <v>398.66</v>
      </c>
      <c r="CQ94">
        <f t="shared" si="95"/>
        <v>176.4</v>
      </c>
      <c r="CR94">
        <f t="shared" si="96"/>
        <v>7183.54</v>
      </c>
      <c r="CS94">
        <f t="shared" si="97"/>
        <v>2663.53</v>
      </c>
      <c r="CT94">
        <f t="shared" si="98"/>
        <v>3806.94</v>
      </c>
      <c r="CU94">
        <f t="shared" si="99"/>
        <v>0</v>
      </c>
      <c r="CV94">
        <f t="shared" si="100"/>
        <v>14.4</v>
      </c>
      <c r="CW94">
        <f t="shared" si="101"/>
        <v>0</v>
      </c>
      <c r="CX94">
        <f t="shared" si="102"/>
        <v>0</v>
      </c>
      <c r="CY94">
        <f>S94*(BZ94/100)</f>
        <v>178.09449999999998</v>
      </c>
      <c r="CZ94">
        <f>S94*(CA94/100)</f>
        <v>73.412999999999997</v>
      </c>
      <c r="DC94" t="s">
        <v>3</v>
      </c>
      <c r="DD94" t="s">
        <v>3</v>
      </c>
      <c r="DE94" t="s">
        <v>3</v>
      </c>
      <c r="DF94" t="s">
        <v>3</v>
      </c>
      <c r="DG94" t="s">
        <v>3</v>
      </c>
      <c r="DH94" t="s">
        <v>3</v>
      </c>
      <c r="DI94" t="s">
        <v>3</v>
      </c>
      <c r="DJ94" t="s">
        <v>3</v>
      </c>
      <c r="DK94" t="s">
        <v>3</v>
      </c>
      <c r="DL94" t="s">
        <v>3</v>
      </c>
      <c r="DM94" t="s">
        <v>3</v>
      </c>
      <c r="DN94">
        <v>161</v>
      </c>
      <c r="DO94">
        <v>107</v>
      </c>
      <c r="DP94">
        <v>1</v>
      </c>
      <c r="DQ94">
        <v>1</v>
      </c>
      <c r="DU94">
        <v>1013</v>
      </c>
      <c r="DV94" t="s">
        <v>143</v>
      </c>
      <c r="DW94" t="s">
        <v>143</v>
      </c>
      <c r="DX94">
        <v>1</v>
      </c>
      <c r="EE94">
        <v>45706606</v>
      </c>
      <c r="EF94">
        <v>30</v>
      </c>
      <c r="EG94" t="s">
        <v>58</v>
      </c>
      <c r="EH94">
        <v>0</v>
      </c>
      <c r="EI94" t="s">
        <v>3</v>
      </c>
      <c r="EJ94">
        <v>1</v>
      </c>
      <c r="EK94">
        <v>146</v>
      </c>
      <c r="EL94" t="s">
        <v>145</v>
      </c>
      <c r="EM94" t="s">
        <v>146</v>
      </c>
      <c r="EO94" t="s">
        <v>3</v>
      </c>
      <c r="EQ94">
        <v>0</v>
      </c>
      <c r="ER94">
        <v>932.02</v>
      </c>
      <c r="ES94">
        <v>35.35</v>
      </c>
      <c r="ET94">
        <v>745.18</v>
      </c>
      <c r="EU94">
        <v>105.99</v>
      </c>
      <c r="EV94">
        <v>151.49</v>
      </c>
      <c r="EW94">
        <v>14.4</v>
      </c>
      <c r="EX94">
        <v>0</v>
      </c>
      <c r="EY94">
        <v>0</v>
      </c>
      <c r="FQ94">
        <v>0</v>
      </c>
      <c r="FR94">
        <f t="shared" si="103"/>
        <v>0</v>
      </c>
      <c r="FS94">
        <v>0</v>
      </c>
      <c r="FX94">
        <v>161</v>
      </c>
      <c r="FY94">
        <v>107</v>
      </c>
      <c r="GA94" t="s">
        <v>3</v>
      </c>
      <c r="GD94">
        <v>0</v>
      </c>
      <c r="GF94">
        <v>-1013438321</v>
      </c>
      <c r="GG94">
        <v>2</v>
      </c>
      <c r="GH94">
        <v>1</v>
      </c>
      <c r="GI94">
        <v>2</v>
      </c>
      <c r="GJ94">
        <v>0</v>
      </c>
      <c r="GK94">
        <f>ROUND(R94*(S12)/100,2)</f>
        <v>149.13</v>
      </c>
      <c r="GL94">
        <f t="shared" si="104"/>
        <v>0</v>
      </c>
      <c r="GM94">
        <f t="shared" si="112"/>
        <v>799.29</v>
      </c>
      <c r="GN94">
        <f t="shared" si="113"/>
        <v>799.29</v>
      </c>
      <c r="GO94">
        <f t="shared" si="114"/>
        <v>0</v>
      </c>
      <c r="GP94">
        <f t="shared" si="115"/>
        <v>0</v>
      </c>
      <c r="GR94">
        <v>0</v>
      </c>
      <c r="GS94">
        <v>3</v>
      </c>
      <c r="GT94">
        <v>0</v>
      </c>
      <c r="GU94" t="s">
        <v>3</v>
      </c>
      <c r="GV94">
        <f t="shared" si="109"/>
        <v>0</v>
      </c>
      <c r="GW94">
        <v>1</v>
      </c>
      <c r="GX94">
        <f t="shared" si="110"/>
        <v>0</v>
      </c>
      <c r="HA94">
        <v>0</v>
      </c>
      <c r="HB94">
        <v>0</v>
      </c>
      <c r="HC94">
        <f t="shared" si="111"/>
        <v>0</v>
      </c>
      <c r="HE94" t="s">
        <v>3</v>
      </c>
      <c r="HF94" t="s">
        <v>3</v>
      </c>
      <c r="IK94">
        <v>0</v>
      </c>
    </row>
    <row r="95" spans="1:255" x14ac:dyDescent="0.2">
      <c r="A95" s="2">
        <v>18</v>
      </c>
      <c r="B95" s="2">
        <v>1</v>
      </c>
      <c r="C95" s="2">
        <v>52</v>
      </c>
      <c r="D95" s="2"/>
      <c r="E95" s="2" t="s">
        <v>147</v>
      </c>
      <c r="F95" s="2" t="s">
        <v>148</v>
      </c>
      <c r="G95" s="2" t="s">
        <v>149</v>
      </c>
      <c r="H95" s="2" t="s">
        <v>150</v>
      </c>
      <c r="I95" s="2">
        <f>I93*J95</f>
        <v>3.9270000000000005</v>
      </c>
      <c r="J95" s="2">
        <v>110</v>
      </c>
      <c r="K95" s="2"/>
      <c r="L95" s="2"/>
      <c r="M95" s="2"/>
      <c r="N95" s="2"/>
      <c r="O95" s="2">
        <f t="shared" si="74"/>
        <v>412.3</v>
      </c>
      <c r="P95" s="2">
        <f t="shared" si="75"/>
        <v>412.3</v>
      </c>
      <c r="Q95" s="2">
        <f t="shared" si="76"/>
        <v>0</v>
      </c>
      <c r="R95" s="2">
        <f t="shared" si="77"/>
        <v>0</v>
      </c>
      <c r="S95" s="2">
        <f t="shared" si="78"/>
        <v>0</v>
      </c>
      <c r="T95" s="2">
        <f t="shared" si="79"/>
        <v>0</v>
      </c>
      <c r="U95" s="2">
        <f t="shared" si="80"/>
        <v>0</v>
      </c>
      <c r="V95" s="2">
        <f t="shared" si="81"/>
        <v>0</v>
      </c>
      <c r="W95" s="2">
        <f t="shared" si="82"/>
        <v>0</v>
      </c>
      <c r="X95" s="2">
        <f t="shared" si="83"/>
        <v>0</v>
      </c>
      <c r="Y95" s="2">
        <f t="shared" si="84"/>
        <v>0</v>
      </c>
      <c r="Z95" s="2"/>
      <c r="AA95" s="2">
        <v>45748053</v>
      </c>
      <c r="AB95" s="2">
        <f t="shared" si="85"/>
        <v>104.99</v>
      </c>
      <c r="AC95" s="2">
        <f t="shared" si="86"/>
        <v>104.99</v>
      </c>
      <c r="AD95" s="2">
        <f t="shared" si="87"/>
        <v>0</v>
      </c>
      <c r="AE95" s="2">
        <f t="shared" si="88"/>
        <v>0</v>
      </c>
      <c r="AF95" s="2">
        <f t="shared" si="89"/>
        <v>0</v>
      </c>
      <c r="AG95" s="2">
        <f t="shared" si="90"/>
        <v>0</v>
      </c>
      <c r="AH95" s="2">
        <f t="shared" si="91"/>
        <v>0</v>
      </c>
      <c r="AI95" s="2">
        <f t="shared" si="92"/>
        <v>0</v>
      </c>
      <c r="AJ95" s="2">
        <f t="shared" si="93"/>
        <v>0</v>
      </c>
      <c r="AK95" s="2">
        <v>104.99</v>
      </c>
      <c r="AL95" s="2">
        <v>104.99</v>
      </c>
      <c r="AM95" s="2">
        <v>0</v>
      </c>
      <c r="AN95" s="2">
        <v>0</v>
      </c>
      <c r="AO95" s="2">
        <v>0</v>
      </c>
      <c r="AP95" s="2">
        <v>0</v>
      </c>
      <c r="AQ95" s="2">
        <v>0</v>
      </c>
      <c r="AR95" s="2">
        <v>0</v>
      </c>
      <c r="AS95" s="2">
        <v>0</v>
      </c>
      <c r="AT95" s="2">
        <v>161</v>
      </c>
      <c r="AU95" s="2">
        <v>107</v>
      </c>
      <c r="AV95" s="2">
        <v>1</v>
      </c>
      <c r="AW95" s="2">
        <v>1</v>
      </c>
      <c r="AX95" s="2"/>
      <c r="AY95" s="2"/>
      <c r="AZ95" s="2">
        <v>1</v>
      </c>
      <c r="BA95" s="2">
        <v>1</v>
      </c>
      <c r="BB95" s="2">
        <v>1</v>
      </c>
      <c r="BC95" s="2">
        <v>1</v>
      </c>
      <c r="BD95" s="2" t="s">
        <v>3</v>
      </c>
      <c r="BE95" s="2" t="s">
        <v>3</v>
      </c>
      <c r="BF95" s="2" t="s">
        <v>3</v>
      </c>
      <c r="BG95" s="2" t="s">
        <v>3</v>
      </c>
      <c r="BH95" s="2">
        <v>3</v>
      </c>
      <c r="BI95" s="2">
        <v>1</v>
      </c>
      <c r="BJ95" s="2" t="s">
        <v>151</v>
      </c>
      <c r="BK95" s="2"/>
      <c r="BL95" s="2"/>
      <c r="BM95" s="2">
        <v>146</v>
      </c>
      <c r="BN95" s="2">
        <v>0</v>
      </c>
      <c r="BO95" s="2" t="s">
        <v>3</v>
      </c>
      <c r="BP95" s="2">
        <v>0</v>
      </c>
      <c r="BQ95" s="2">
        <v>30</v>
      </c>
      <c r="BR95" s="2">
        <v>0</v>
      </c>
      <c r="BS95" s="2">
        <v>1</v>
      </c>
      <c r="BT95" s="2">
        <v>1</v>
      </c>
      <c r="BU95" s="2">
        <v>1</v>
      </c>
      <c r="BV95" s="2">
        <v>1</v>
      </c>
      <c r="BW95" s="2">
        <v>1</v>
      </c>
      <c r="BX95" s="2">
        <v>1</v>
      </c>
      <c r="BY95" s="2" t="s">
        <v>3</v>
      </c>
      <c r="BZ95" s="2">
        <v>161</v>
      </c>
      <c r="CA95" s="2">
        <v>107</v>
      </c>
      <c r="CB95" s="2"/>
      <c r="CC95" s="2"/>
      <c r="CD95" s="2"/>
      <c r="CE95" s="2">
        <v>30</v>
      </c>
      <c r="CF95" s="2">
        <v>0</v>
      </c>
      <c r="CG95" s="2">
        <v>0</v>
      </c>
      <c r="CH95" s="2"/>
      <c r="CI95" s="2"/>
      <c r="CJ95" s="2"/>
      <c r="CK95" s="2"/>
      <c r="CL95" s="2"/>
      <c r="CM95" s="2">
        <v>0</v>
      </c>
      <c r="CN95" s="2" t="s">
        <v>3</v>
      </c>
      <c r="CO95" s="2">
        <v>0</v>
      </c>
      <c r="CP95" s="2">
        <f t="shared" si="94"/>
        <v>412.3</v>
      </c>
      <c r="CQ95" s="2">
        <f t="shared" si="95"/>
        <v>104.99</v>
      </c>
      <c r="CR95" s="2">
        <f t="shared" si="96"/>
        <v>0</v>
      </c>
      <c r="CS95" s="2">
        <f t="shared" si="97"/>
        <v>0</v>
      </c>
      <c r="CT95" s="2">
        <f t="shared" si="98"/>
        <v>0</v>
      </c>
      <c r="CU95" s="2">
        <f t="shared" si="99"/>
        <v>0</v>
      </c>
      <c r="CV95" s="2">
        <f t="shared" si="100"/>
        <v>0</v>
      </c>
      <c r="CW95" s="2">
        <f t="shared" si="101"/>
        <v>0</v>
      </c>
      <c r="CX95" s="2">
        <f t="shared" si="102"/>
        <v>0</v>
      </c>
      <c r="CY95" s="2">
        <f>((S95*BZ95)/100)</f>
        <v>0</v>
      </c>
      <c r="CZ95" s="2">
        <f>((S95*CA95)/100)</f>
        <v>0</v>
      </c>
      <c r="DA95" s="2"/>
      <c r="DB95" s="2"/>
      <c r="DC95" s="2" t="s">
        <v>3</v>
      </c>
      <c r="DD95" s="2" t="s">
        <v>3</v>
      </c>
      <c r="DE95" s="2" t="s">
        <v>3</v>
      </c>
      <c r="DF95" s="2" t="s">
        <v>3</v>
      </c>
      <c r="DG95" s="2" t="s">
        <v>3</v>
      </c>
      <c r="DH95" s="2" t="s">
        <v>3</v>
      </c>
      <c r="DI95" s="2" t="s">
        <v>3</v>
      </c>
      <c r="DJ95" s="2" t="s">
        <v>3</v>
      </c>
      <c r="DK95" s="2" t="s">
        <v>3</v>
      </c>
      <c r="DL95" s="2" t="s">
        <v>3</v>
      </c>
      <c r="DM95" s="2" t="s">
        <v>3</v>
      </c>
      <c r="DN95" s="2">
        <v>0</v>
      </c>
      <c r="DO95" s="2">
        <v>0</v>
      </c>
      <c r="DP95" s="2">
        <v>1</v>
      </c>
      <c r="DQ95" s="2">
        <v>1</v>
      </c>
      <c r="DR95" s="2"/>
      <c r="DS95" s="2"/>
      <c r="DT95" s="2"/>
      <c r="DU95" s="2">
        <v>1007</v>
      </c>
      <c r="DV95" s="2" t="s">
        <v>150</v>
      </c>
      <c r="DW95" s="2" t="s">
        <v>150</v>
      </c>
      <c r="DX95" s="2">
        <v>1</v>
      </c>
      <c r="DY95" s="2"/>
      <c r="DZ95" s="2"/>
      <c r="EA95" s="2"/>
      <c r="EB95" s="2"/>
      <c r="EC95" s="2"/>
      <c r="ED95" s="2"/>
      <c r="EE95" s="2">
        <v>45706606</v>
      </c>
      <c r="EF95" s="2">
        <v>30</v>
      </c>
      <c r="EG95" s="2" t="s">
        <v>58</v>
      </c>
      <c r="EH95" s="2">
        <v>0</v>
      </c>
      <c r="EI95" s="2" t="s">
        <v>3</v>
      </c>
      <c r="EJ95" s="2">
        <v>1</v>
      </c>
      <c r="EK95" s="2">
        <v>146</v>
      </c>
      <c r="EL95" s="2" t="s">
        <v>145</v>
      </c>
      <c r="EM95" s="2" t="s">
        <v>146</v>
      </c>
      <c r="EN95" s="2"/>
      <c r="EO95" s="2" t="s">
        <v>3</v>
      </c>
      <c r="EP95" s="2"/>
      <c r="EQ95" s="2">
        <v>0</v>
      </c>
      <c r="ER95" s="2">
        <v>104.99</v>
      </c>
      <c r="ES95" s="2">
        <v>104.99</v>
      </c>
      <c r="ET95" s="2">
        <v>0</v>
      </c>
      <c r="EU95" s="2">
        <v>0</v>
      </c>
      <c r="EV95" s="2">
        <v>0</v>
      </c>
      <c r="EW95" s="2">
        <v>0</v>
      </c>
      <c r="EX95" s="2">
        <v>0</v>
      </c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>
        <v>0</v>
      </c>
      <c r="FR95" s="2">
        <f t="shared" si="103"/>
        <v>0</v>
      </c>
      <c r="FS95" s="2">
        <v>0</v>
      </c>
      <c r="FT95" s="2"/>
      <c r="FU95" s="2"/>
      <c r="FV95" s="2"/>
      <c r="FW95" s="2"/>
      <c r="FX95" s="2">
        <v>161</v>
      </c>
      <c r="FY95" s="2">
        <v>107</v>
      </c>
      <c r="FZ95" s="2"/>
      <c r="GA95" s="2" t="s">
        <v>3</v>
      </c>
      <c r="GB95" s="2"/>
      <c r="GC95" s="2"/>
      <c r="GD95" s="2">
        <v>0</v>
      </c>
      <c r="GE95" s="2"/>
      <c r="GF95" s="2">
        <v>2069056849</v>
      </c>
      <c r="GG95" s="2">
        <v>2</v>
      </c>
      <c r="GH95" s="2">
        <v>1</v>
      </c>
      <c r="GI95" s="2">
        <v>-2</v>
      </c>
      <c r="GJ95" s="2">
        <v>0</v>
      </c>
      <c r="GK95" s="2">
        <f>ROUND(R95*(R12)/100,2)</f>
        <v>0</v>
      </c>
      <c r="GL95" s="2">
        <f t="shared" si="104"/>
        <v>0</v>
      </c>
      <c r="GM95" s="2">
        <f t="shared" si="112"/>
        <v>412.3</v>
      </c>
      <c r="GN95" s="2">
        <f t="shared" si="113"/>
        <v>412.3</v>
      </c>
      <c r="GO95" s="2">
        <f t="shared" si="114"/>
        <v>0</v>
      </c>
      <c r="GP95" s="2">
        <f t="shared" si="115"/>
        <v>0</v>
      </c>
      <c r="GQ95" s="2"/>
      <c r="GR95" s="2">
        <v>0</v>
      </c>
      <c r="GS95" s="2">
        <v>3</v>
      </c>
      <c r="GT95" s="2">
        <v>0</v>
      </c>
      <c r="GU95" s="2" t="s">
        <v>3</v>
      </c>
      <c r="GV95" s="2">
        <f t="shared" si="109"/>
        <v>0</v>
      </c>
      <c r="GW95" s="2">
        <v>1</v>
      </c>
      <c r="GX95" s="2">
        <f t="shared" si="110"/>
        <v>0</v>
      </c>
      <c r="GY95" s="2"/>
      <c r="GZ95" s="2"/>
      <c r="HA95" s="2">
        <v>0</v>
      </c>
      <c r="HB95" s="2">
        <v>0</v>
      </c>
      <c r="HC95" s="2">
        <f t="shared" si="111"/>
        <v>0</v>
      </c>
      <c r="HD95" s="2"/>
      <c r="HE95" s="2" t="s">
        <v>3</v>
      </c>
      <c r="HF95" s="2" t="s">
        <v>3</v>
      </c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>
        <v>0</v>
      </c>
      <c r="IL95" s="2"/>
      <c r="IM95" s="2"/>
      <c r="IN95" s="2"/>
      <c r="IO95" s="2"/>
      <c r="IP95" s="2"/>
      <c r="IQ95" s="2"/>
      <c r="IR95" s="2"/>
      <c r="IS95" s="2"/>
      <c r="IT95" s="2"/>
      <c r="IU95" s="2"/>
    </row>
    <row r="96" spans="1:255" x14ac:dyDescent="0.2">
      <c r="A96">
        <v>18</v>
      </c>
      <c r="B96">
        <v>1</v>
      </c>
      <c r="C96">
        <v>60</v>
      </c>
      <c r="E96" t="s">
        <v>147</v>
      </c>
      <c r="F96" t="s">
        <v>148</v>
      </c>
      <c r="G96" t="s">
        <v>149</v>
      </c>
      <c r="H96" t="s">
        <v>150</v>
      </c>
      <c r="I96">
        <f>I94*J96</f>
        <v>3.9270000000000005</v>
      </c>
      <c r="J96">
        <v>110</v>
      </c>
      <c r="O96">
        <f t="shared" si="74"/>
        <v>2168.6999999999998</v>
      </c>
      <c r="P96">
        <f t="shared" si="75"/>
        <v>2168.6999999999998</v>
      </c>
      <c r="Q96">
        <f t="shared" si="76"/>
        <v>0</v>
      </c>
      <c r="R96">
        <f t="shared" si="77"/>
        <v>0</v>
      </c>
      <c r="S96">
        <f t="shared" si="78"/>
        <v>0</v>
      </c>
      <c r="T96">
        <f t="shared" si="79"/>
        <v>0</v>
      </c>
      <c r="U96">
        <f t="shared" si="80"/>
        <v>0</v>
      </c>
      <c r="V96">
        <f t="shared" si="81"/>
        <v>0</v>
      </c>
      <c r="W96">
        <f t="shared" si="82"/>
        <v>0</v>
      </c>
      <c r="X96">
        <f t="shared" si="83"/>
        <v>0</v>
      </c>
      <c r="Y96">
        <f t="shared" si="84"/>
        <v>0</v>
      </c>
      <c r="AA96">
        <v>45747932</v>
      </c>
      <c r="AB96">
        <f t="shared" si="85"/>
        <v>104.99</v>
      </c>
      <c r="AC96">
        <f t="shared" si="86"/>
        <v>104.99</v>
      </c>
      <c r="AD96">
        <f t="shared" si="87"/>
        <v>0</v>
      </c>
      <c r="AE96">
        <f t="shared" si="88"/>
        <v>0</v>
      </c>
      <c r="AF96">
        <f t="shared" si="89"/>
        <v>0</v>
      </c>
      <c r="AG96">
        <f t="shared" si="90"/>
        <v>0</v>
      </c>
      <c r="AH96">
        <f t="shared" si="91"/>
        <v>0</v>
      </c>
      <c r="AI96">
        <f t="shared" si="92"/>
        <v>0</v>
      </c>
      <c r="AJ96">
        <f t="shared" si="93"/>
        <v>0</v>
      </c>
      <c r="AK96">
        <v>104.99</v>
      </c>
      <c r="AL96">
        <v>104.99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1</v>
      </c>
      <c r="AW96">
        <v>1</v>
      </c>
      <c r="AZ96">
        <v>1</v>
      </c>
      <c r="BA96">
        <v>1</v>
      </c>
      <c r="BB96">
        <v>1</v>
      </c>
      <c r="BC96">
        <v>5.26</v>
      </c>
      <c r="BD96" t="s">
        <v>3</v>
      </c>
      <c r="BE96" t="s">
        <v>3</v>
      </c>
      <c r="BF96" t="s">
        <v>3</v>
      </c>
      <c r="BG96" t="s">
        <v>3</v>
      </c>
      <c r="BH96">
        <v>3</v>
      </c>
      <c r="BI96">
        <v>1</v>
      </c>
      <c r="BJ96" t="s">
        <v>151</v>
      </c>
      <c r="BM96">
        <v>146</v>
      </c>
      <c r="BN96">
        <v>0</v>
      </c>
      <c r="BO96" t="s">
        <v>148</v>
      </c>
      <c r="BP96">
        <v>1</v>
      </c>
      <c r="BQ96">
        <v>30</v>
      </c>
      <c r="BR96">
        <v>0</v>
      </c>
      <c r="BS96">
        <v>1</v>
      </c>
      <c r="BT96">
        <v>1</v>
      </c>
      <c r="BU96">
        <v>1</v>
      </c>
      <c r="BV96">
        <v>1</v>
      </c>
      <c r="BW96">
        <v>1</v>
      </c>
      <c r="BX96">
        <v>1</v>
      </c>
      <c r="BY96" t="s">
        <v>3</v>
      </c>
      <c r="BZ96">
        <v>0</v>
      </c>
      <c r="CA96">
        <v>0</v>
      </c>
      <c r="CE96">
        <v>30</v>
      </c>
      <c r="CF96">
        <v>0</v>
      </c>
      <c r="CG96">
        <v>0</v>
      </c>
      <c r="CM96">
        <v>0</v>
      </c>
      <c r="CN96" t="s">
        <v>3</v>
      </c>
      <c r="CO96">
        <v>0</v>
      </c>
      <c r="CP96">
        <f t="shared" si="94"/>
        <v>2168.6999999999998</v>
      </c>
      <c r="CQ96">
        <f t="shared" si="95"/>
        <v>552.25</v>
      </c>
      <c r="CR96">
        <f t="shared" si="96"/>
        <v>0</v>
      </c>
      <c r="CS96">
        <f t="shared" si="97"/>
        <v>0</v>
      </c>
      <c r="CT96">
        <f t="shared" si="98"/>
        <v>0</v>
      </c>
      <c r="CU96">
        <f t="shared" si="99"/>
        <v>0</v>
      </c>
      <c r="CV96">
        <f t="shared" si="100"/>
        <v>0</v>
      </c>
      <c r="CW96">
        <f t="shared" si="101"/>
        <v>0</v>
      </c>
      <c r="CX96">
        <f t="shared" si="102"/>
        <v>0</v>
      </c>
      <c r="CY96">
        <f>S96*(BZ96/100)</f>
        <v>0</v>
      </c>
      <c r="CZ96">
        <f>S96*(CA96/100)</f>
        <v>0</v>
      </c>
      <c r="DC96" t="s">
        <v>3</v>
      </c>
      <c r="DD96" t="s">
        <v>3</v>
      </c>
      <c r="DE96" t="s">
        <v>3</v>
      </c>
      <c r="DF96" t="s">
        <v>3</v>
      </c>
      <c r="DG96" t="s">
        <v>3</v>
      </c>
      <c r="DH96" t="s">
        <v>3</v>
      </c>
      <c r="DI96" t="s">
        <v>3</v>
      </c>
      <c r="DJ96" t="s">
        <v>3</v>
      </c>
      <c r="DK96" t="s">
        <v>3</v>
      </c>
      <c r="DL96" t="s">
        <v>3</v>
      </c>
      <c r="DM96" t="s">
        <v>3</v>
      </c>
      <c r="DN96">
        <v>161</v>
      </c>
      <c r="DO96">
        <v>107</v>
      </c>
      <c r="DP96">
        <v>1</v>
      </c>
      <c r="DQ96">
        <v>1</v>
      </c>
      <c r="DU96">
        <v>1007</v>
      </c>
      <c r="DV96" t="s">
        <v>150</v>
      </c>
      <c r="DW96" t="s">
        <v>150</v>
      </c>
      <c r="DX96">
        <v>1</v>
      </c>
      <c r="EE96">
        <v>45706606</v>
      </c>
      <c r="EF96">
        <v>30</v>
      </c>
      <c r="EG96" t="s">
        <v>58</v>
      </c>
      <c r="EH96">
        <v>0</v>
      </c>
      <c r="EI96" t="s">
        <v>3</v>
      </c>
      <c r="EJ96">
        <v>1</v>
      </c>
      <c r="EK96">
        <v>146</v>
      </c>
      <c r="EL96" t="s">
        <v>145</v>
      </c>
      <c r="EM96" t="s">
        <v>146</v>
      </c>
      <c r="EO96" t="s">
        <v>3</v>
      </c>
      <c r="EQ96">
        <v>0</v>
      </c>
      <c r="ER96">
        <v>104.99</v>
      </c>
      <c r="ES96">
        <v>104.99</v>
      </c>
      <c r="ET96">
        <v>0</v>
      </c>
      <c r="EU96">
        <v>0</v>
      </c>
      <c r="EV96">
        <v>0</v>
      </c>
      <c r="EW96">
        <v>0</v>
      </c>
      <c r="EX96">
        <v>0</v>
      </c>
      <c r="FQ96">
        <v>0</v>
      </c>
      <c r="FR96">
        <f t="shared" si="103"/>
        <v>0</v>
      </c>
      <c r="FS96">
        <v>0</v>
      </c>
      <c r="FX96">
        <v>161</v>
      </c>
      <c r="FY96">
        <v>107</v>
      </c>
      <c r="GA96" t="s">
        <v>3</v>
      </c>
      <c r="GD96">
        <v>0</v>
      </c>
      <c r="GF96">
        <v>2069056849</v>
      </c>
      <c r="GG96">
        <v>2</v>
      </c>
      <c r="GH96">
        <v>1</v>
      </c>
      <c r="GI96">
        <v>2</v>
      </c>
      <c r="GJ96">
        <v>0</v>
      </c>
      <c r="GK96">
        <f>ROUND(R96*(S12)/100,2)</f>
        <v>0</v>
      </c>
      <c r="GL96">
        <f t="shared" si="104"/>
        <v>0</v>
      </c>
      <c r="GM96">
        <f t="shared" si="112"/>
        <v>2168.6999999999998</v>
      </c>
      <c r="GN96">
        <f t="shared" si="113"/>
        <v>2168.6999999999998</v>
      </c>
      <c r="GO96">
        <f t="shared" si="114"/>
        <v>0</v>
      </c>
      <c r="GP96">
        <f t="shared" si="115"/>
        <v>0</v>
      </c>
      <c r="GR96">
        <v>0</v>
      </c>
      <c r="GS96">
        <v>3</v>
      </c>
      <c r="GT96">
        <v>0</v>
      </c>
      <c r="GU96" t="s">
        <v>3</v>
      </c>
      <c r="GV96">
        <f t="shared" si="109"/>
        <v>0</v>
      </c>
      <c r="GW96">
        <v>1</v>
      </c>
      <c r="GX96">
        <f t="shared" si="110"/>
        <v>0</v>
      </c>
      <c r="HA96">
        <v>0</v>
      </c>
      <c r="HB96">
        <v>0</v>
      </c>
      <c r="HC96">
        <f t="shared" si="111"/>
        <v>0</v>
      </c>
      <c r="HE96" t="s">
        <v>3</v>
      </c>
      <c r="HF96" t="s">
        <v>3</v>
      </c>
      <c r="IK96">
        <v>0</v>
      </c>
    </row>
    <row r="97" spans="1:255" x14ac:dyDescent="0.2">
      <c r="A97" s="2">
        <v>17</v>
      </c>
      <c r="B97" s="2">
        <v>1</v>
      </c>
      <c r="C97" s="2">
        <f>ROW(SmtRes!A66)</f>
        <v>66</v>
      </c>
      <c r="D97" s="2">
        <f>ROW(EtalonRes!A66)</f>
        <v>66</v>
      </c>
      <c r="E97" s="2" t="s">
        <v>152</v>
      </c>
      <c r="F97" s="2" t="s">
        <v>153</v>
      </c>
      <c r="G97" s="2" t="s">
        <v>154</v>
      </c>
      <c r="H97" s="2" t="s">
        <v>155</v>
      </c>
      <c r="I97" s="2">
        <f>ROUND(I83,9)</f>
        <v>1.02</v>
      </c>
      <c r="J97" s="2">
        <v>0</v>
      </c>
      <c r="K97" s="2"/>
      <c r="L97" s="2"/>
      <c r="M97" s="2"/>
      <c r="N97" s="2"/>
      <c r="O97" s="2">
        <f t="shared" si="74"/>
        <v>5608.71</v>
      </c>
      <c r="P97" s="2">
        <f t="shared" si="75"/>
        <v>4388.3100000000004</v>
      </c>
      <c r="Q97" s="2">
        <f t="shared" si="76"/>
        <v>118.8</v>
      </c>
      <c r="R97" s="2">
        <f t="shared" si="77"/>
        <v>11.29</v>
      </c>
      <c r="S97" s="2">
        <f t="shared" si="78"/>
        <v>1101.5999999999999</v>
      </c>
      <c r="T97" s="2">
        <f t="shared" si="79"/>
        <v>0</v>
      </c>
      <c r="U97" s="2">
        <f t="shared" si="80"/>
        <v>102</v>
      </c>
      <c r="V97" s="2">
        <f t="shared" si="81"/>
        <v>0</v>
      </c>
      <c r="W97" s="2">
        <f t="shared" si="82"/>
        <v>0</v>
      </c>
      <c r="X97" s="2">
        <f t="shared" si="83"/>
        <v>1773.58</v>
      </c>
      <c r="Y97" s="2">
        <f t="shared" si="84"/>
        <v>1178.71</v>
      </c>
      <c r="Z97" s="2"/>
      <c r="AA97" s="2">
        <v>45748053</v>
      </c>
      <c r="AB97" s="2">
        <f t="shared" si="85"/>
        <v>5498.73</v>
      </c>
      <c r="AC97" s="2">
        <f t="shared" si="86"/>
        <v>4302.26</v>
      </c>
      <c r="AD97" s="2">
        <f t="shared" si="87"/>
        <v>116.47</v>
      </c>
      <c r="AE97" s="2">
        <f t="shared" si="88"/>
        <v>11.07</v>
      </c>
      <c r="AF97" s="2">
        <f t="shared" si="89"/>
        <v>1080</v>
      </c>
      <c r="AG97" s="2">
        <f t="shared" si="90"/>
        <v>0</v>
      </c>
      <c r="AH97" s="2">
        <f t="shared" si="91"/>
        <v>100</v>
      </c>
      <c r="AI97" s="2">
        <f t="shared" si="92"/>
        <v>0</v>
      </c>
      <c r="AJ97" s="2">
        <f t="shared" si="93"/>
        <v>0</v>
      </c>
      <c r="AK97" s="2">
        <v>5498.73</v>
      </c>
      <c r="AL97" s="2">
        <v>4302.26</v>
      </c>
      <c r="AM97" s="2">
        <v>116.47</v>
      </c>
      <c r="AN97" s="2">
        <v>11.07</v>
      </c>
      <c r="AO97" s="2">
        <v>1080</v>
      </c>
      <c r="AP97" s="2">
        <v>0</v>
      </c>
      <c r="AQ97" s="2">
        <v>100</v>
      </c>
      <c r="AR97" s="2">
        <v>0</v>
      </c>
      <c r="AS97" s="2">
        <v>0</v>
      </c>
      <c r="AT97" s="2">
        <v>161</v>
      </c>
      <c r="AU97" s="2">
        <v>107</v>
      </c>
      <c r="AV97" s="2">
        <v>1</v>
      </c>
      <c r="AW97" s="2">
        <v>1</v>
      </c>
      <c r="AX97" s="2"/>
      <c r="AY97" s="2"/>
      <c r="AZ97" s="2">
        <v>1</v>
      </c>
      <c r="BA97" s="2">
        <v>1</v>
      </c>
      <c r="BB97" s="2">
        <v>1</v>
      </c>
      <c r="BC97" s="2">
        <v>1</v>
      </c>
      <c r="BD97" s="2" t="s">
        <v>3</v>
      </c>
      <c r="BE97" s="2" t="s">
        <v>3</v>
      </c>
      <c r="BF97" s="2" t="s">
        <v>3</v>
      </c>
      <c r="BG97" s="2" t="s">
        <v>3</v>
      </c>
      <c r="BH97" s="2">
        <v>0</v>
      </c>
      <c r="BI97" s="2">
        <v>1</v>
      </c>
      <c r="BJ97" s="2" t="s">
        <v>156</v>
      </c>
      <c r="BK97" s="2"/>
      <c r="BL97" s="2"/>
      <c r="BM97" s="2">
        <v>151</v>
      </c>
      <c r="BN97" s="2">
        <v>0</v>
      </c>
      <c r="BO97" s="2" t="s">
        <v>3</v>
      </c>
      <c r="BP97" s="2">
        <v>0</v>
      </c>
      <c r="BQ97" s="2">
        <v>30</v>
      </c>
      <c r="BR97" s="2">
        <v>0</v>
      </c>
      <c r="BS97" s="2">
        <v>1</v>
      </c>
      <c r="BT97" s="2">
        <v>1</v>
      </c>
      <c r="BU97" s="2">
        <v>1</v>
      </c>
      <c r="BV97" s="2">
        <v>1</v>
      </c>
      <c r="BW97" s="2">
        <v>1</v>
      </c>
      <c r="BX97" s="2">
        <v>1</v>
      </c>
      <c r="BY97" s="2" t="s">
        <v>3</v>
      </c>
      <c r="BZ97" s="2">
        <v>161</v>
      </c>
      <c r="CA97" s="2">
        <v>107</v>
      </c>
      <c r="CB97" s="2"/>
      <c r="CC97" s="2"/>
      <c r="CD97" s="2"/>
      <c r="CE97" s="2">
        <v>30</v>
      </c>
      <c r="CF97" s="2">
        <v>0</v>
      </c>
      <c r="CG97" s="2">
        <v>0</v>
      </c>
      <c r="CH97" s="2"/>
      <c r="CI97" s="2"/>
      <c r="CJ97" s="2"/>
      <c r="CK97" s="2"/>
      <c r="CL97" s="2"/>
      <c r="CM97" s="2">
        <v>0</v>
      </c>
      <c r="CN97" s="2" t="s">
        <v>3</v>
      </c>
      <c r="CO97" s="2">
        <v>0</v>
      </c>
      <c r="CP97" s="2">
        <f t="shared" si="94"/>
        <v>5608.7100000000009</v>
      </c>
      <c r="CQ97" s="2">
        <f t="shared" si="95"/>
        <v>4302.26</v>
      </c>
      <c r="CR97" s="2">
        <f t="shared" si="96"/>
        <v>116.47</v>
      </c>
      <c r="CS97" s="2">
        <f t="shared" si="97"/>
        <v>11.07</v>
      </c>
      <c r="CT97" s="2">
        <f t="shared" si="98"/>
        <v>1080</v>
      </c>
      <c r="CU97" s="2">
        <f t="shared" si="99"/>
        <v>0</v>
      </c>
      <c r="CV97" s="2">
        <f t="shared" si="100"/>
        <v>100</v>
      </c>
      <c r="CW97" s="2">
        <f t="shared" si="101"/>
        <v>0</v>
      </c>
      <c r="CX97" s="2">
        <f t="shared" si="102"/>
        <v>0</v>
      </c>
      <c r="CY97" s="2">
        <f>((S97*BZ97)/100)</f>
        <v>1773.5759999999998</v>
      </c>
      <c r="CZ97" s="2">
        <f>((S97*CA97)/100)</f>
        <v>1178.712</v>
      </c>
      <c r="DA97" s="2"/>
      <c r="DB97" s="2"/>
      <c r="DC97" s="2" t="s">
        <v>3</v>
      </c>
      <c r="DD97" s="2" t="s">
        <v>3</v>
      </c>
      <c r="DE97" s="2" t="s">
        <v>3</v>
      </c>
      <c r="DF97" s="2" t="s">
        <v>3</v>
      </c>
      <c r="DG97" s="2" t="s">
        <v>3</v>
      </c>
      <c r="DH97" s="2" t="s">
        <v>3</v>
      </c>
      <c r="DI97" s="2" t="s">
        <v>3</v>
      </c>
      <c r="DJ97" s="2" t="s">
        <v>3</v>
      </c>
      <c r="DK97" s="2" t="s">
        <v>3</v>
      </c>
      <c r="DL97" s="2" t="s">
        <v>3</v>
      </c>
      <c r="DM97" s="2" t="s">
        <v>3</v>
      </c>
      <c r="DN97" s="2">
        <v>0</v>
      </c>
      <c r="DO97" s="2">
        <v>0</v>
      </c>
      <c r="DP97" s="2">
        <v>1</v>
      </c>
      <c r="DQ97" s="2">
        <v>1</v>
      </c>
      <c r="DR97" s="2"/>
      <c r="DS97" s="2"/>
      <c r="DT97" s="2"/>
      <c r="DU97" s="2">
        <v>1013</v>
      </c>
      <c r="DV97" s="2" t="s">
        <v>155</v>
      </c>
      <c r="DW97" s="2" t="s">
        <v>155</v>
      </c>
      <c r="DX97" s="2">
        <v>1</v>
      </c>
      <c r="DY97" s="2"/>
      <c r="DZ97" s="2"/>
      <c r="EA97" s="2"/>
      <c r="EB97" s="2"/>
      <c r="EC97" s="2"/>
      <c r="ED97" s="2"/>
      <c r="EE97" s="2">
        <v>45706611</v>
      </c>
      <c r="EF97" s="2">
        <v>30</v>
      </c>
      <c r="EG97" s="2" t="s">
        <v>58</v>
      </c>
      <c r="EH97" s="2">
        <v>0</v>
      </c>
      <c r="EI97" s="2" t="s">
        <v>3</v>
      </c>
      <c r="EJ97" s="2">
        <v>1</v>
      </c>
      <c r="EK97" s="2">
        <v>151</v>
      </c>
      <c r="EL97" s="2" t="s">
        <v>157</v>
      </c>
      <c r="EM97" s="2" t="s">
        <v>158</v>
      </c>
      <c r="EN97" s="2"/>
      <c r="EO97" s="2" t="s">
        <v>3</v>
      </c>
      <c r="EP97" s="2"/>
      <c r="EQ97" s="2">
        <v>0</v>
      </c>
      <c r="ER97" s="2">
        <v>5498.73</v>
      </c>
      <c r="ES97" s="2">
        <v>4302.26</v>
      </c>
      <c r="ET97" s="2">
        <v>116.47</v>
      </c>
      <c r="EU97" s="2">
        <v>11.07</v>
      </c>
      <c r="EV97" s="2">
        <v>1080</v>
      </c>
      <c r="EW97" s="2">
        <v>100</v>
      </c>
      <c r="EX97" s="2">
        <v>0</v>
      </c>
      <c r="EY97" s="2">
        <v>0</v>
      </c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>
        <v>0</v>
      </c>
      <c r="FR97" s="2">
        <f t="shared" si="103"/>
        <v>0</v>
      </c>
      <c r="FS97" s="2">
        <v>0</v>
      </c>
      <c r="FT97" s="2"/>
      <c r="FU97" s="2"/>
      <c r="FV97" s="2"/>
      <c r="FW97" s="2"/>
      <c r="FX97" s="2">
        <v>161</v>
      </c>
      <c r="FY97" s="2">
        <v>107</v>
      </c>
      <c r="FZ97" s="2"/>
      <c r="GA97" s="2" t="s">
        <v>3</v>
      </c>
      <c r="GB97" s="2"/>
      <c r="GC97" s="2"/>
      <c r="GD97" s="2">
        <v>0</v>
      </c>
      <c r="GE97" s="2"/>
      <c r="GF97" s="2">
        <v>622078049</v>
      </c>
      <c r="GG97" s="2">
        <v>2</v>
      </c>
      <c r="GH97" s="2">
        <v>1</v>
      </c>
      <c r="GI97" s="2">
        <v>-2</v>
      </c>
      <c r="GJ97" s="2">
        <v>0</v>
      </c>
      <c r="GK97" s="2">
        <f>ROUND(R97*(R12)/100,2)</f>
        <v>19.760000000000002</v>
      </c>
      <c r="GL97" s="2">
        <f t="shared" si="104"/>
        <v>0</v>
      </c>
      <c r="GM97" s="2">
        <f t="shared" si="112"/>
        <v>8580.76</v>
      </c>
      <c r="GN97" s="2">
        <f t="shared" si="113"/>
        <v>8580.76</v>
      </c>
      <c r="GO97" s="2">
        <f t="shared" si="114"/>
        <v>0</v>
      </c>
      <c r="GP97" s="2">
        <f t="shared" si="115"/>
        <v>0</v>
      </c>
      <c r="GQ97" s="2"/>
      <c r="GR97" s="2">
        <v>0</v>
      </c>
      <c r="GS97" s="2">
        <v>3</v>
      </c>
      <c r="GT97" s="2">
        <v>0</v>
      </c>
      <c r="GU97" s="2" t="s">
        <v>3</v>
      </c>
      <c r="GV97" s="2">
        <f t="shared" si="109"/>
        <v>0</v>
      </c>
      <c r="GW97" s="2">
        <v>1</v>
      </c>
      <c r="GX97" s="2">
        <f t="shared" si="110"/>
        <v>0</v>
      </c>
      <c r="GY97" s="2"/>
      <c r="GZ97" s="2"/>
      <c r="HA97" s="2">
        <v>0</v>
      </c>
      <c r="HB97" s="2">
        <v>0</v>
      </c>
      <c r="HC97" s="2">
        <f t="shared" si="111"/>
        <v>0</v>
      </c>
      <c r="HD97" s="2"/>
      <c r="HE97" s="2" t="s">
        <v>3</v>
      </c>
      <c r="HF97" s="2" t="s">
        <v>3</v>
      </c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>
        <v>0</v>
      </c>
      <c r="IL97" s="2"/>
      <c r="IM97" s="2"/>
      <c r="IN97" s="2"/>
      <c r="IO97" s="2"/>
      <c r="IP97" s="2"/>
      <c r="IQ97" s="2"/>
      <c r="IR97" s="2"/>
      <c r="IS97" s="2"/>
      <c r="IT97" s="2"/>
      <c r="IU97" s="2"/>
    </row>
    <row r="98" spans="1:255" x14ac:dyDescent="0.2">
      <c r="A98">
        <v>17</v>
      </c>
      <c r="B98">
        <v>1</v>
      </c>
      <c r="C98">
        <f>ROW(SmtRes!A72)</f>
        <v>72</v>
      </c>
      <c r="D98">
        <f>ROW(EtalonRes!A72)</f>
        <v>72</v>
      </c>
      <c r="E98" t="s">
        <v>152</v>
      </c>
      <c r="F98" t="s">
        <v>153</v>
      </c>
      <c r="G98" t="s">
        <v>154</v>
      </c>
      <c r="H98" t="s">
        <v>155</v>
      </c>
      <c r="I98">
        <f>ROUND(I84,9)</f>
        <v>1.02</v>
      </c>
      <c r="J98">
        <v>0</v>
      </c>
      <c r="O98">
        <f t="shared" si="74"/>
        <v>54531.839999999997</v>
      </c>
      <c r="P98">
        <f t="shared" si="75"/>
        <v>25847.15</v>
      </c>
      <c r="Q98">
        <f t="shared" si="76"/>
        <v>1001.48</v>
      </c>
      <c r="R98">
        <f t="shared" si="77"/>
        <v>283.72000000000003</v>
      </c>
      <c r="S98">
        <f t="shared" si="78"/>
        <v>27683.21</v>
      </c>
      <c r="T98">
        <f t="shared" si="79"/>
        <v>0</v>
      </c>
      <c r="U98">
        <f t="shared" si="80"/>
        <v>102</v>
      </c>
      <c r="V98">
        <f t="shared" si="81"/>
        <v>0</v>
      </c>
      <c r="W98">
        <f t="shared" si="82"/>
        <v>0</v>
      </c>
      <c r="X98">
        <f t="shared" si="83"/>
        <v>36265.01</v>
      </c>
      <c r="Y98">
        <f t="shared" si="84"/>
        <v>14948.93</v>
      </c>
      <c r="AA98">
        <v>45747932</v>
      </c>
      <c r="AB98">
        <f t="shared" si="85"/>
        <v>5498.73</v>
      </c>
      <c r="AC98">
        <f t="shared" si="86"/>
        <v>4302.26</v>
      </c>
      <c r="AD98">
        <f t="shared" si="87"/>
        <v>116.47</v>
      </c>
      <c r="AE98">
        <f t="shared" si="88"/>
        <v>11.07</v>
      </c>
      <c r="AF98">
        <f t="shared" si="89"/>
        <v>1080</v>
      </c>
      <c r="AG98">
        <f t="shared" si="90"/>
        <v>0</v>
      </c>
      <c r="AH98">
        <f t="shared" si="91"/>
        <v>100</v>
      </c>
      <c r="AI98">
        <f t="shared" si="92"/>
        <v>0</v>
      </c>
      <c r="AJ98">
        <f t="shared" si="93"/>
        <v>0</v>
      </c>
      <c r="AK98">
        <v>5498.73</v>
      </c>
      <c r="AL98">
        <v>4302.26</v>
      </c>
      <c r="AM98">
        <v>116.47</v>
      </c>
      <c r="AN98">
        <v>11.07</v>
      </c>
      <c r="AO98">
        <v>1080</v>
      </c>
      <c r="AP98">
        <v>0</v>
      </c>
      <c r="AQ98">
        <v>100</v>
      </c>
      <c r="AR98">
        <v>0</v>
      </c>
      <c r="AS98">
        <v>0</v>
      </c>
      <c r="AT98">
        <v>131</v>
      </c>
      <c r="AU98">
        <v>54</v>
      </c>
      <c r="AV98">
        <v>1</v>
      </c>
      <c r="AW98">
        <v>1</v>
      </c>
      <c r="AZ98">
        <v>1</v>
      </c>
      <c r="BA98">
        <v>25.13</v>
      </c>
      <c r="BB98">
        <v>8.43</v>
      </c>
      <c r="BC98">
        <v>5.89</v>
      </c>
      <c r="BD98" t="s">
        <v>3</v>
      </c>
      <c r="BE98" t="s">
        <v>3</v>
      </c>
      <c r="BF98" t="s">
        <v>3</v>
      </c>
      <c r="BG98" t="s">
        <v>3</v>
      </c>
      <c r="BH98">
        <v>0</v>
      </c>
      <c r="BI98">
        <v>1</v>
      </c>
      <c r="BJ98" t="s">
        <v>156</v>
      </c>
      <c r="BM98">
        <v>151</v>
      </c>
      <c r="BN98">
        <v>0</v>
      </c>
      <c r="BO98" t="s">
        <v>153</v>
      </c>
      <c r="BP98">
        <v>1</v>
      </c>
      <c r="BQ98">
        <v>30</v>
      </c>
      <c r="BR98">
        <v>0</v>
      </c>
      <c r="BS98">
        <v>25.13</v>
      </c>
      <c r="BT98">
        <v>1</v>
      </c>
      <c r="BU98">
        <v>1</v>
      </c>
      <c r="BV98">
        <v>1</v>
      </c>
      <c r="BW98">
        <v>1</v>
      </c>
      <c r="BX98">
        <v>1</v>
      </c>
      <c r="BY98" t="s">
        <v>3</v>
      </c>
      <c r="BZ98">
        <v>131</v>
      </c>
      <c r="CA98">
        <v>54</v>
      </c>
      <c r="CE98">
        <v>30</v>
      </c>
      <c r="CF98">
        <v>0</v>
      </c>
      <c r="CG98">
        <v>0</v>
      </c>
      <c r="CM98">
        <v>0</v>
      </c>
      <c r="CN98" t="s">
        <v>3</v>
      </c>
      <c r="CO98">
        <v>0</v>
      </c>
      <c r="CP98">
        <f t="shared" si="94"/>
        <v>54531.839999999997</v>
      </c>
      <c r="CQ98">
        <f t="shared" si="95"/>
        <v>25340.31</v>
      </c>
      <c r="CR98">
        <f t="shared" si="96"/>
        <v>981.84</v>
      </c>
      <c r="CS98">
        <f t="shared" si="97"/>
        <v>278.19</v>
      </c>
      <c r="CT98">
        <f t="shared" si="98"/>
        <v>27140.400000000001</v>
      </c>
      <c r="CU98">
        <f t="shared" si="99"/>
        <v>0</v>
      </c>
      <c r="CV98">
        <f t="shared" si="100"/>
        <v>100</v>
      </c>
      <c r="CW98">
        <f t="shared" si="101"/>
        <v>0</v>
      </c>
      <c r="CX98">
        <f t="shared" si="102"/>
        <v>0</v>
      </c>
      <c r="CY98">
        <f>S98*(BZ98/100)</f>
        <v>36265.005100000002</v>
      </c>
      <c r="CZ98">
        <f>S98*(CA98/100)</f>
        <v>14948.9334</v>
      </c>
      <c r="DC98" t="s">
        <v>3</v>
      </c>
      <c r="DD98" t="s">
        <v>3</v>
      </c>
      <c r="DE98" t="s">
        <v>3</v>
      </c>
      <c r="DF98" t="s">
        <v>3</v>
      </c>
      <c r="DG98" t="s">
        <v>3</v>
      </c>
      <c r="DH98" t="s">
        <v>3</v>
      </c>
      <c r="DI98" t="s">
        <v>3</v>
      </c>
      <c r="DJ98" t="s">
        <v>3</v>
      </c>
      <c r="DK98" t="s">
        <v>3</v>
      </c>
      <c r="DL98" t="s">
        <v>3</v>
      </c>
      <c r="DM98" t="s">
        <v>3</v>
      </c>
      <c r="DN98">
        <v>161</v>
      </c>
      <c r="DO98">
        <v>107</v>
      </c>
      <c r="DP98">
        <v>1</v>
      </c>
      <c r="DQ98">
        <v>1</v>
      </c>
      <c r="DU98">
        <v>1013</v>
      </c>
      <c r="DV98" t="s">
        <v>155</v>
      </c>
      <c r="DW98" t="s">
        <v>155</v>
      </c>
      <c r="DX98">
        <v>1</v>
      </c>
      <c r="EE98">
        <v>45706611</v>
      </c>
      <c r="EF98">
        <v>30</v>
      </c>
      <c r="EG98" t="s">
        <v>58</v>
      </c>
      <c r="EH98">
        <v>0</v>
      </c>
      <c r="EI98" t="s">
        <v>3</v>
      </c>
      <c r="EJ98">
        <v>1</v>
      </c>
      <c r="EK98">
        <v>151</v>
      </c>
      <c r="EL98" t="s">
        <v>157</v>
      </c>
      <c r="EM98" t="s">
        <v>158</v>
      </c>
      <c r="EO98" t="s">
        <v>3</v>
      </c>
      <c r="EQ98">
        <v>0</v>
      </c>
      <c r="ER98">
        <v>5498.73</v>
      </c>
      <c r="ES98">
        <v>4302.26</v>
      </c>
      <c r="ET98">
        <v>116.47</v>
      </c>
      <c r="EU98">
        <v>11.07</v>
      </c>
      <c r="EV98">
        <v>1080</v>
      </c>
      <c r="EW98">
        <v>100</v>
      </c>
      <c r="EX98">
        <v>0</v>
      </c>
      <c r="EY98">
        <v>0</v>
      </c>
      <c r="FQ98">
        <v>0</v>
      </c>
      <c r="FR98">
        <f t="shared" si="103"/>
        <v>0</v>
      </c>
      <c r="FS98">
        <v>0</v>
      </c>
      <c r="FX98">
        <v>161</v>
      </c>
      <c r="FY98">
        <v>107</v>
      </c>
      <c r="GA98" t="s">
        <v>3</v>
      </c>
      <c r="GD98">
        <v>0</v>
      </c>
      <c r="GF98">
        <v>622078049</v>
      </c>
      <c r="GG98">
        <v>2</v>
      </c>
      <c r="GH98">
        <v>1</v>
      </c>
      <c r="GI98">
        <v>2</v>
      </c>
      <c r="GJ98">
        <v>0</v>
      </c>
      <c r="GK98">
        <f>ROUND(R98*(S12)/100,2)</f>
        <v>445.44</v>
      </c>
      <c r="GL98">
        <f t="shared" si="104"/>
        <v>0</v>
      </c>
      <c r="GM98">
        <f t="shared" si="112"/>
        <v>106191.22</v>
      </c>
      <c r="GN98">
        <f t="shared" si="113"/>
        <v>106191.22</v>
      </c>
      <c r="GO98">
        <f t="shared" si="114"/>
        <v>0</v>
      </c>
      <c r="GP98">
        <f t="shared" si="115"/>
        <v>0</v>
      </c>
      <c r="GR98">
        <v>0</v>
      </c>
      <c r="GS98">
        <v>0</v>
      </c>
      <c r="GT98">
        <v>0</v>
      </c>
      <c r="GU98" t="s">
        <v>3</v>
      </c>
      <c r="GV98">
        <f t="shared" si="109"/>
        <v>0</v>
      </c>
      <c r="GW98">
        <v>1</v>
      </c>
      <c r="GX98">
        <f t="shared" si="110"/>
        <v>0</v>
      </c>
      <c r="HA98">
        <v>0</v>
      </c>
      <c r="HB98">
        <v>0</v>
      </c>
      <c r="HC98">
        <f t="shared" si="111"/>
        <v>0</v>
      </c>
      <c r="HE98" t="s">
        <v>3</v>
      </c>
      <c r="HF98" t="s">
        <v>3</v>
      </c>
      <c r="IK98">
        <v>0</v>
      </c>
    </row>
    <row r="99" spans="1:255" x14ac:dyDescent="0.2">
      <c r="A99" s="2">
        <v>18</v>
      </c>
      <c r="B99" s="2">
        <v>1</v>
      </c>
      <c r="C99" s="2">
        <v>63</v>
      </c>
      <c r="D99" s="2"/>
      <c r="E99" s="2" t="s">
        <v>159</v>
      </c>
      <c r="F99" s="2" t="s">
        <v>160</v>
      </c>
      <c r="G99" s="2" t="s">
        <v>161</v>
      </c>
      <c r="H99" s="2" t="s">
        <v>162</v>
      </c>
      <c r="I99" s="2">
        <f>I97*J99</f>
        <v>102</v>
      </c>
      <c r="J99" s="2">
        <v>100</v>
      </c>
      <c r="K99" s="2"/>
      <c r="L99" s="2"/>
      <c r="M99" s="2"/>
      <c r="N99" s="2"/>
      <c r="O99" s="2">
        <f t="shared" si="74"/>
        <v>112664.1</v>
      </c>
      <c r="P99" s="2">
        <f t="shared" si="75"/>
        <v>112664.1</v>
      </c>
      <c r="Q99" s="2">
        <f t="shared" si="76"/>
        <v>0</v>
      </c>
      <c r="R99" s="2">
        <f t="shared" si="77"/>
        <v>0</v>
      </c>
      <c r="S99" s="2">
        <f t="shared" si="78"/>
        <v>0</v>
      </c>
      <c r="T99" s="2">
        <f t="shared" si="79"/>
        <v>0</v>
      </c>
      <c r="U99" s="2">
        <f t="shared" si="80"/>
        <v>0</v>
      </c>
      <c r="V99" s="2">
        <f t="shared" si="81"/>
        <v>0</v>
      </c>
      <c r="W99" s="2">
        <f t="shared" si="82"/>
        <v>0</v>
      </c>
      <c r="X99" s="2">
        <f t="shared" si="83"/>
        <v>0</v>
      </c>
      <c r="Y99" s="2">
        <f t="shared" si="84"/>
        <v>0</v>
      </c>
      <c r="Z99" s="2"/>
      <c r="AA99" s="2">
        <v>45748053</v>
      </c>
      <c r="AB99" s="2">
        <f t="shared" si="85"/>
        <v>1104.55</v>
      </c>
      <c r="AC99" s="2">
        <f t="shared" si="86"/>
        <v>1104.55</v>
      </c>
      <c r="AD99" s="2">
        <f t="shared" si="87"/>
        <v>0</v>
      </c>
      <c r="AE99" s="2">
        <f t="shared" si="88"/>
        <v>0</v>
      </c>
      <c r="AF99" s="2">
        <f t="shared" si="89"/>
        <v>0</v>
      </c>
      <c r="AG99" s="2">
        <f t="shared" si="90"/>
        <v>0</v>
      </c>
      <c r="AH99" s="2">
        <f t="shared" si="91"/>
        <v>0</v>
      </c>
      <c r="AI99" s="2">
        <f t="shared" si="92"/>
        <v>0</v>
      </c>
      <c r="AJ99" s="2">
        <f t="shared" si="93"/>
        <v>0</v>
      </c>
      <c r="AK99" s="2">
        <v>1104.55</v>
      </c>
      <c r="AL99" s="2">
        <v>1104.55</v>
      </c>
      <c r="AM99" s="2">
        <v>0</v>
      </c>
      <c r="AN99" s="2">
        <v>0</v>
      </c>
      <c r="AO99" s="2">
        <v>0</v>
      </c>
      <c r="AP99" s="2">
        <v>0</v>
      </c>
      <c r="AQ99" s="2">
        <v>0</v>
      </c>
      <c r="AR99" s="2">
        <v>0</v>
      </c>
      <c r="AS99" s="2">
        <v>0</v>
      </c>
      <c r="AT99" s="2">
        <v>161</v>
      </c>
      <c r="AU99" s="2">
        <v>107</v>
      </c>
      <c r="AV99" s="2">
        <v>1</v>
      </c>
      <c r="AW99" s="2">
        <v>1</v>
      </c>
      <c r="AX99" s="2"/>
      <c r="AY99" s="2"/>
      <c r="AZ99" s="2">
        <v>1</v>
      </c>
      <c r="BA99" s="2">
        <v>1</v>
      </c>
      <c r="BB99" s="2">
        <v>1</v>
      </c>
      <c r="BC99" s="2">
        <v>1</v>
      </c>
      <c r="BD99" s="2" t="s">
        <v>3</v>
      </c>
      <c r="BE99" s="2" t="s">
        <v>3</v>
      </c>
      <c r="BF99" s="2" t="s">
        <v>3</v>
      </c>
      <c r="BG99" s="2" t="s">
        <v>3</v>
      </c>
      <c r="BH99" s="2">
        <v>3</v>
      </c>
      <c r="BI99" s="2">
        <v>1</v>
      </c>
      <c r="BJ99" s="2" t="s">
        <v>163</v>
      </c>
      <c r="BK99" s="2"/>
      <c r="BL99" s="2"/>
      <c r="BM99" s="2">
        <v>151</v>
      </c>
      <c r="BN99" s="2">
        <v>0</v>
      </c>
      <c r="BO99" s="2" t="s">
        <v>3</v>
      </c>
      <c r="BP99" s="2">
        <v>0</v>
      </c>
      <c r="BQ99" s="2">
        <v>30</v>
      </c>
      <c r="BR99" s="2">
        <v>0</v>
      </c>
      <c r="BS99" s="2">
        <v>1</v>
      </c>
      <c r="BT99" s="2">
        <v>1</v>
      </c>
      <c r="BU99" s="2">
        <v>1</v>
      </c>
      <c r="BV99" s="2">
        <v>1</v>
      </c>
      <c r="BW99" s="2">
        <v>1</v>
      </c>
      <c r="BX99" s="2">
        <v>1</v>
      </c>
      <c r="BY99" s="2" t="s">
        <v>3</v>
      </c>
      <c r="BZ99" s="2">
        <v>161</v>
      </c>
      <c r="CA99" s="2">
        <v>107</v>
      </c>
      <c r="CB99" s="2"/>
      <c r="CC99" s="2"/>
      <c r="CD99" s="2"/>
      <c r="CE99" s="2">
        <v>30</v>
      </c>
      <c r="CF99" s="2">
        <v>0</v>
      </c>
      <c r="CG99" s="2">
        <v>0</v>
      </c>
      <c r="CH99" s="2"/>
      <c r="CI99" s="2"/>
      <c r="CJ99" s="2"/>
      <c r="CK99" s="2"/>
      <c r="CL99" s="2"/>
      <c r="CM99" s="2">
        <v>0</v>
      </c>
      <c r="CN99" s="2" t="s">
        <v>3</v>
      </c>
      <c r="CO99" s="2">
        <v>0</v>
      </c>
      <c r="CP99" s="2">
        <f t="shared" si="94"/>
        <v>112664.1</v>
      </c>
      <c r="CQ99" s="2">
        <f t="shared" si="95"/>
        <v>1104.55</v>
      </c>
      <c r="CR99" s="2">
        <f t="shared" si="96"/>
        <v>0</v>
      </c>
      <c r="CS99" s="2">
        <f t="shared" si="97"/>
        <v>0</v>
      </c>
      <c r="CT99" s="2">
        <f t="shared" si="98"/>
        <v>0</v>
      </c>
      <c r="CU99" s="2">
        <f t="shared" si="99"/>
        <v>0</v>
      </c>
      <c r="CV99" s="2">
        <f t="shared" si="100"/>
        <v>0</v>
      </c>
      <c r="CW99" s="2">
        <f t="shared" si="101"/>
        <v>0</v>
      </c>
      <c r="CX99" s="2">
        <f t="shared" si="102"/>
        <v>0</v>
      </c>
      <c r="CY99" s="2">
        <f>((S99*BZ99)/100)</f>
        <v>0</v>
      </c>
      <c r="CZ99" s="2">
        <f>((S99*CA99)/100)</f>
        <v>0</v>
      </c>
      <c r="DA99" s="2"/>
      <c r="DB99" s="2"/>
      <c r="DC99" s="2" t="s">
        <v>3</v>
      </c>
      <c r="DD99" s="2" t="s">
        <v>3</v>
      </c>
      <c r="DE99" s="2" t="s">
        <v>3</v>
      </c>
      <c r="DF99" s="2" t="s">
        <v>3</v>
      </c>
      <c r="DG99" s="2" t="s">
        <v>3</v>
      </c>
      <c r="DH99" s="2" t="s">
        <v>3</v>
      </c>
      <c r="DI99" s="2" t="s">
        <v>3</v>
      </c>
      <c r="DJ99" s="2" t="s">
        <v>3</v>
      </c>
      <c r="DK99" s="2" t="s">
        <v>3</v>
      </c>
      <c r="DL99" s="2" t="s">
        <v>3</v>
      </c>
      <c r="DM99" s="2" t="s">
        <v>3</v>
      </c>
      <c r="DN99" s="2">
        <v>0</v>
      </c>
      <c r="DO99" s="2">
        <v>0</v>
      </c>
      <c r="DP99" s="2">
        <v>1</v>
      </c>
      <c r="DQ99" s="2">
        <v>1</v>
      </c>
      <c r="DR99" s="2"/>
      <c r="DS99" s="2"/>
      <c r="DT99" s="2"/>
      <c r="DU99" s="2">
        <v>1003</v>
      </c>
      <c r="DV99" s="2" t="s">
        <v>162</v>
      </c>
      <c r="DW99" s="2" t="s">
        <v>162</v>
      </c>
      <c r="DX99" s="2">
        <v>1</v>
      </c>
      <c r="DY99" s="2"/>
      <c r="DZ99" s="2"/>
      <c r="EA99" s="2"/>
      <c r="EB99" s="2"/>
      <c r="EC99" s="2"/>
      <c r="ED99" s="2"/>
      <c r="EE99" s="2">
        <v>45706611</v>
      </c>
      <c r="EF99" s="2">
        <v>30</v>
      </c>
      <c r="EG99" s="2" t="s">
        <v>58</v>
      </c>
      <c r="EH99" s="2">
        <v>0</v>
      </c>
      <c r="EI99" s="2" t="s">
        <v>3</v>
      </c>
      <c r="EJ99" s="2">
        <v>1</v>
      </c>
      <c r="EK99" s="2">
        <v>151</v>
      </c>
      <c r="EL99" s="2" t="s">
        <v>157</v>
      </c>
      <c r="EM99" s="2" t="s">
        <v>158</v>
      </c>
      <c r="EN99" s="2"/>
      <c r="EO99" s="2" t="s">
        <v>3</v>
      </c>
      <c r="EP99" s="2"/>
      <c r="EQ99" s="2">
        <v>0</v>
      </c>
      <c r="ER99" s="2">
        <v>1104.55</v>
      </c>
      <c r="ES99" s="2">
        <v>1104.55</v>
      </c>
      <c r="ET99" s="2">
        <v>0</v>
      </c>
      <c r="EU99" s="2">
        <v>0</v>
      </c>
      <c r="EV99" s="2">
        <v>0</v>
      </c>
      <c r="EW99" s="2">
        <v>0</v>
      </c>
      <c r="EX99" s="2">
        <v>0</v>
      </c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>
        <v>0</v>
      </c>
      <c r="FR99" s="2">
        <f t="shared" si="103"/>
        <v>0</v>
      </c>
      <c r="FS99" s="2">
        <v>0</v>
      </c>
      <c r="FT99" s="2"/>
      <c r="FU99" s="2"/>
      <c r="FV99" s="2"/>
      <c r="FW99" s="2"/>
      <c r="FX99" s="2">
        <v>161</v>
      </c>
      <c r="FY99" s="2">
        <v>107</v>
      </c>
      <c r="FZ99" s="2"/>
      <c r="GA99" s="2" t="s">
        <v>3</v>
      </c>
      <c r="GB99" s="2"/>
      <c r="GC99" s="2"/>
      <c r="GD99" s="2">
        <v>0</v>
      </c>
      <c r="GE99" s="2"/>
      <c r="GF99" s="2">
        <v>1901670477</v>
      </c>
      <c r="GG99" s="2">
        <v>2</v>
      </c>
      <c r="GH99" s="2">
        <v>1</v>
      </c>
      <c r="GI99" s="2">
        <v>-2</v>
      </c>
      <c r="GJ99" s="2">
        <v>0</v>
      </c>
      <c r="GK99" s="2">
        <f>ROUND(R99*(R12)/100,2)</f>
        <v>0</v>
      </c>
      <c r="GL99" s="2">
        <f t="shared" si="104"/>
        <v>0</v>
      </c>
      <c r="GM99" s="2">
        <f t="shared" si="112"/>
        <v>112664.1</v>
      </c>
      <c r="GN99" s="2">
        <f t="shared" si="113"/>
        <v>112664.1</v>
      </c>
      <c r="GO99" s="2">
        <f t="shared" si="114"/>
        <v>0</v>
      </c>
      <c r="GP99" s="2">
        <f t="shared" si="115"/>
        <v>0</v>
      </c>
      <c r="GQ99" s="2"/>
      <c r="GR99" s="2">
        <v>0</v>
      </c>
      <c r="GS99" s="2">
        <v>3</v>
      </c>
      <c r="GT99" s="2">
        <v>0</v>
      </c>
      <c r="GU99" s="2" t="s">
        <v>3</v>
      </c>
      <c r="GV99" s="2">
        <f t="shared" si="109"/>
        <v>0</v>
      </c>
      <c r="GW99" s="2">
        <v>1</v>
      </c>
      <c r="GX99" s="2">
        <f t="shared" si="110"/>
        <v>0</v>
      </c>
      <c r="GY99" s="2"/>
      <c r="GZ99" s="2"/>
      <c r="HA99" s="2">
        <v>0</v>
      </c>
      <c r="HB99" s="2">
        <v>0</v>
      </c>
      <c r="HC99" s="2">
        <f t="shared" si="111"/>
        <v>0</v>
      </c>
      <c r="HD99" s="2"/>
      <c r="HE99" s="2" t="s">
        <v>3</v>
      </c>
      <c r="HF99" s="2" t="s">
        <v>3</v>
      </c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>
        <v>0</v>
      </c>
      <c r="IL99" s="2"/>
      <c r="IM99" s="2"/>
      <c r="IN99" s="2"/>
      <c r="IO99" s="2"/>
      <c r="IP99" s="2"/>
      <c r="IQ99" s="2"/>
      <c r="IR99" s="2"/>
      <c r="IS99" s="2"/>
      <c r="IT99" s="2"/>
      <c r="IU99" s="2"/>
    </row>
    <row r="100" spans="1:255" x14ac:dyDescent="0.2">
      <c r="A100">
        <v>18</v>
      </c>
      <c r="B100">
        <v>1</v>
      </c>
      <c r="C100">
        <v>69</v>
      </c>
      <c r="E100" t="s">
        <v>159</v>
      </c>
      <c r="F100" t="s">
        <v>160</v>
      </c>
      <c r="G100" t="s">
        <v>161</v>
      </c>
      <c r="H100" t="s">
        <v>162</v>
      </c>
      <c r="I100">
        <f>I98*J100</f>
        <v>102</v>
      </c>
      <c r="J100">
        <v>100</v>
      </c>
      <c r="O100">
        <f t="shared" si="74"/>
        <v>242227.82</v>
      </c>
      <c r="P100">
        <f t="shared" si="75"/>
        <v>242227.82</v>
      </c>
      <c r="Q100">
        <f t="shared" si="76"/>
        <v>0</v>
      </c>
      <c r="R100">
        <f t="shared" si="77"/>
        <v>0</v>
      </c>
      <c r="S100">
        <f t="shared" si="78"/>
        <v>0</v>
      </c>
      <c r="T100">
        <f t="shared" si="79"/>
        <v>0</v>
      </c>
      <c r="U100">
        <f t="shared" si="80"/>
        <v>0</v>
      </c>
      <c r="V100">
        <f t="shared" si="81"/>
        <v>0</v>
      </c>
      <c r="W100">
        <f t="shared" si="82"/>
        <v>0</v>
      </c>
      <c r="X100">
        <f t="shared" si="83"/>
        <v>0</v>
      </c>
      <c r="Y100">
        <f t="shared" si="84"/>
        <v>0</v>
      </c>
      <c r="AA100">
        <v>45747932</v>
      </c>
      <c r="AB100">
        <f t="shared" si="85"/>
        <v>1104.55</v>
      </c>
      <c r="AC100">
        <f t="shared" si="86"/>
        <v>1104.55</v>
      </c>
      <c r="AD100">
        <f t="shared" si="87"/>
        <v>0</v>
      </c>
      <c r="AE100">
        <f t="shared" si="88"/>
        <v>0</v>
      </c>
      <c r="AF100">
        <f t="shared" si="89"/>
        <v>0</v>
      </c>
      <c r="AG100">
        <f t="shared" si="90"/>
        <v>0</v>
      </c>
      <c r="AH100">
        <f t="shared" si="91"/>
        <v>0</v>
      </c>
      <c r="AI100">
        <f t="shared" si="92"/>
        <v>0</v>
      </c>
      <c r="AJ100">
        <f t="shared" si="93"/>
        <v>0</v>
      </c>
      <c r="AK100">
        <v>1104.55</v>
      </c>
      <c r="AL100">
        <v>1104.55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0</v>
      </c>
      <c r="AU100">
        <v>0</v>
      </c>
      <c r="AV100">
        <v>1</v>
      </c>
      <c r="AW100">
        <v>1</v>
      </c>
      <c r="AZ100">
        <v>1</v>
      </c>
      <c r="BA100">
        <v>1</v>
      </c>
      <c r="BB100">
        <v>1</v>
      </c>
      <c r="BC100">
        <v>2.15</v>
      </c>
      <c r="BD100" t="s">
        <v>3</v>
      </c>
      <c r="BE100" t="s">
        <v>3</v>
      </c>
      <c r="BF100" t="s">
        <v>3</v>
      </c>
      <c r="BG100" t="s">
        <v>3</v>
      </c>
      <c r="BH100">
        <v>3</v>
      </c>
      <c r="BI100">
        <v>1</v>
      </c>
      <c r="BJ100" t="s">
        <v>163</v>
      </c>
      <c r="BM100">
        <v>151</v>
      </c>
      <c r="BN100">
        <v>0</v>
      </c>
      <c r="BO100" t="s">
        <v>160</v>
      </c>
      <c r="BP100">
        <v>1</v>
      </c>
      <c r="BQ100">
        <v>30</v>
      </c>
      <c r="BR100">
        <v>0</v>
      </c>
      <c r="BS100">
        <v>1</v>
      </c>
      <c r="BT100">
        <v>1</v>
      </c>
      <c r="BU100">
        <v>1</v>
      </c>
      <c r="BV100">
        <v>1</v>
      </c>
      <c r="BW100">
        <v>1</v>
      </c>
      <c r="BX100">
        <v>1</v>
      </c>
      <c r="BY100" t="s">
        <v>3</v>
      </c>
      <c r="BZ100">
        <v>0</v>
      </c>
      <c r="CA100">
        <v>0</v>
      </c>
      <c r="CE100">
        <v>30</v>
      </c>
      <c r="CF100">
        <v>0</v>
      </c>
      <c r="CG100">
        <v>0</v>
      </c>
      <c r="CM100">
        <v>0</v>
      </c>
      <c r="CN100" t="s">
        <v>3</v>
      </c>
      <c r="CO100">
        <v>0</v>
      </c>
      <c r="CP100">
        <f t="shared" si="94"/>
        <v>242227.82</v>
      </c>
      <c r="CQ100">
        <f t="shared" si="95"/>
        <v>2374.7800000000002</v>
      </c>
      <c r="CR100">
        <f t="shared" si="96"/>
        <v>0</v>
      </c>
      <c r="CS100">
        <f t="shared" si="97"/>
        <v>0</v>
      </c>
      <c r="CT100">
        <f t="shared" si="98"/>
        <v>0</v>
      </c>
      <c r="CU100">
        <f t="shared" si="99"/>
        <v>0</v>
      </c>
      <c r="CV100">
        <f t="shared" si="100"/>
        <v>0</v>
      </c>
      <c r="CW100">
        <f t="shared" si="101"/>
        <v>0</v>
      </c>
      <c r="CX100">
        <f t="shared" si="102"/>
        <v>0</v>
      </c>
      <c r="CY100">
        <f>S100*(BZ100/100)</f>
        <v>0</v>
      </c>
      <c r="CZ100">
        <f>S100*(CA100/100)</f>
        <v>0</v>
      </c>
      <c r="DC100" t="s">
        <v>3</v>
      </c>
      <c r="DD100" t="s">
        <v>3</v>
      </c>
      <c r="DE100" t="s">
        <v>3</v>
      </c>
      <c r="DF100" t="s">
        <v>3</v>
      </c>
      <c r="DG100" t="s">
        <v>3</v>
      </c>
      <c r="DH100" t="s">
        <v>3</v>
      </c>
      <c r="DI100" t="s">
        <v>3</v>
      </c>
      <c r="DJ100" t="s">
        <v>3</v>
      </c>
      <c r="DK100" t="s">
        <v>3</v>
      </c>
      <c r="DL100" t="s">
        <v>3</v>
      </c>
      <c r="DM100" t="s">
        <v>3</v>
      </c>
      <c r="DN100">
        <v>161</v>
      </c>
      <c r="DO100">
        <v>107</v>
      </c>
      <c r="DP100">
        <v>1</v>
      </c>
      <c r="DQ100">
        <v>1</v>
      </c>
      <c r="DU100">
        <v>1003</v>
      </c>
      <c r="DV100" t="s">
        <v>162</v>
      </c>
      <c r="DW100" t="s">
        <v>162</v>
      </c>
      <c r="DX100">
        <v>1</v>
      </c>
      <c r="EE100">
        <v>45706611</v>
      </c>
      <c r="EF100">
        <v>30</v>
      </c>
      <c r="EG100" t="s">
        <v>58</v>
      </c>
      <c r="EH100">
        <v>0</v>
      </c>
      <c r="EI100" t="s">
        <v>3</v>
      </c>
      <c r="EJ100">
        <v>1</v>
      </c>
      <c r="EK100">
        <v>151</v>
      </c>
      <c r="EL100" t="s">
        <v>157</v>
      </c>
      <c r="EM100" t="s">
        <v>158</v>
      </c>
      <c r="EO100" t="s">
        <v>3</v>
      </c>
      <c r="EQ100">
        <v>0</v>
      </c>
      <c r="ER100">
        <v>1104.55</v>
      </c>
      <c r="ES100">
        <v>1104.55</v>
      </c>
      <c r="ET100">
        <v>0</v>
      </c>
      <c r="EU100">
        <v>0</v>
      </c>
      <c r="EV100">
        <v>0</v>
      </c>
      <c r="EW100">
        <v>0</v>
      </c>
      <c r="EX100">
        <v>0</v>
      </c>
      <c r="FQ100">
        <v>0</v>
      </c>
      <c r="FR100">
        <f t="shared" si="103"/>
        <v>0</v>
      </c>
      <c r="FS100">
        <v>0</v>
      </c>
      <c r="FX100">
        <v>161</v>
      </c>
      <c r="FY100">
        <v>107</v>
      </c>
      <c r="GA100" t="s">
        <v>3</v>
      </c>
      <c r="GD100">
        <v>0</v>
      </c>
      <c r="GF100">
        <v>1901670477</v>
      </c>
      <c r="GG100">
        <v>2</v>
      </c>
      <c r="GH100">
        <v>1</v>
      </c>
      <c r="GI100">
        <v>2</v>
      </c>
      <c r="GJ100">
        <v>0</v>
      </c>
      <c r="GK100">
        <f>ROUND(R100*(S12)/100,2)</f>
        <v>0</v>
      </c>
      <c r="GL100">
        <f t="shared" si="104"/>
        <v>0</v>
      </c>
      <c r="GM100">
        <f t="shared" si="112"/>
        <v>242227.82</v>
      </c>
      <c r="GN100">
        <f t="shared" si="113"/>
        <v>242227.82</v>
      </c>
      <c r="GO100">
        <f t="shared" si="114"/>
        <v>0</v>
      </c>
      <c r="GP100">
        <f t="shared" si="115"/>
        <v>0</v>
      </c>
      <c r="GR100">
        <v>0</v>
      </c>
      <c r="GS100">
        <v>3</v>
      </c>
      <c r="GT100">
        <v>0</v>
      </c>
      <c r="GU100" t="s">
        <v>3</v>
      </c>
      <c r="GV100">
        <f t="shared" si="109"/>
        <v>0</v>
      </c>
      <c r="GW100">
        <v>1</v>
      </c>
      <c r="GX100">
        <f t="shared" si="110"/>
        <v>0</v>
      </c>
      <c r="HA100">
        <v>0</v>
      </c>
      <c r="HB100">
        <v>0</v>
      </c>
      <c r="HC100">
        <f t="shared" si="111"/>
        <v>0</v>
      </c>
      <c r="HE100" t="s">
        <v>3</v>
      </c>
      <c r="HF100" t="s">
        <v>3</v>
      </c>
      <c r="IK100">
        <v>0</v>
      </c>
    </row>
    <row r="101" spans="1:255" x14ac:dyDescent="0.2">
      <c r="A101" s="2">
        <v>17</v>
      </c>
      <c r="B101" s="2">
        <v>1</v>
      </c>
      <c r="C101" s="2">
        <f>ROW(SmtRes!A78)</f>
        <v>78</v>
      </c>
      <c r="D101" s="2">
        <f>ROW(EtalonRes!A78)</f>
        <v>78</v>
      </c>
      <c r="E101" s="2" t="s">
        <v>164</v>
      </c>
      <c r="F101" s="2" t="s">
        <v>165</v>
      </c>
      <c r="G101" s="2" t="s">
        <v>166</v>
      </c>
      <c r="H101" s="2" t="s">
        <v>167</v>
      </c>
      <c r="I101" s="2">
        <f>ROUND((102*0.1*2)/100,9)</f>
        <v>0.20399999999999999</v>
      </c>
      <c r="J101" s="2">
        <v>0</v>
      </c>
      <c r="K101" s="2"/>
      <c r="L101" s="2"/>
      <c r="M101" s="2"/>
      <c r="N101" s="2"/>
      <c r="O101" s="2">
        <f t="shared" si="74"/>
        <v>1094.44</v>
      </c>
      <c r="P101" s="2">
        <f t="shared" si="75"/>
        <v>0.61</v>
      </c>
      <c r="Q101" s="2">
        <f t="shared" si="76"/>
        <v>82.06</v>
      </c>
      <c r="R101" s="2">
        <f t="shared" si="77"/>
        <v>7.22</v>
      </c>
      <c r="S101" s="2">
        <f t="shared" si="78"/>
        <v>1011.77</v>
      </c>
      <c r="T101" s="2">
        <f t="shared" si="79"/>
        <v>0</v>
      </c>
      <c r="U101" s="2">
        <f t="shared" si="80"/>
        <v>80.171999999999997</v>
      </c>
      <c r="V101" s="2">
        <f t="shared" si="81"/>
        <v>0</v>
      </c>
      <c r="W101" s="2">
        <f t="shared" si="82"/>
        <v>0</v>
      </c>
      <c r="X101" s="2">
        <f t="shared" si="83"/>
        <v>1355.77</v>
      </c>
      <c r="Y101" s="2">
        <f t="shared" si="84"/>
        <v>839.77</v>
      </c>
      <c r="Z101" s="2"/>
      <c r="AA101" s="2">
        <v>45748053</v>
      </c>
      <c r="AB101" s="2">
        <f t="shared" si="85"/>
        <v>5364.93</v>
      </c>
      <c r="AC101" s="2">
        <f t="shared" si="86"/>
        <v>3</v>
      </c>
      <c r="AD101" s="2">
        <f t="shared" si="87"/>
        <v>402.27</v>
      </c>
      <c r="AE101" s="2">
        <f t="shared" si="88"/>
        <v>35.39</v>
      </c>
      <c r="AF101" s="2">
        <f t="shared" si="89"/>
        <v>4959.66</v>
      </c>
      <c r="AG101" s="2">
        <f t="shared" si="90"/>
        <v>0</v>
      </c>
      <c r="AH101" s="2">
        <f t="shared" si="91"/>
        <v>393</v>
      </c>
      <c r="AI101" s="2">
        <f t="shared" si="92"/>
        <v>0</v>
      </c>
      <c r="AJ101" s="2">
        <f t="shared" si="93"/>
        <v>0</v>
      </c>
      <c r="AK101" s="2">
        <v>5364.93</v>
      </c>
      <c r="AL101" s="2">
        <v>3</v>
      </c>
      <c r="AM101" s="2">
        <v>402.27</v>
      </c>
      <c r="AN101" s="2">
        <v>35.39</v>
      </c>
      <c r="AO101" s="2">
        <v>4959.66</v>
      </c>
      <c r="AP101" s="2">
        <v>0</v>
      </c>
      <c r="AQ101" s="2">
        <v>393</v>
      </c>
      <c r="AR101" s="2">
        <v>0</v>
      </c>
      <c r="AS101" s="2">
        <v>0</v>
      </c>
      <c r="AT101" s="2">
        <v>134</v>
      </c>
      <c r="AU101" s="2">
        <v>83</v>
      </c>
      <c r="AV101" s="2">
        <v>1</v>
      </c>
      <c r="AW101" s="2">
        <v>1</v>
      </c>
      <c r="AX101" s="2"/>
      <c r="AY101" s="2"/>
      <c r="AZ101" s="2">
        <v>1</v>
      </c>
      <c r="BA101" s="2">
        <v>1</v>
      </c>
      <c r="BB101" s="2">
        <v>1</v>
      </c>
      <c r="BC101" s="2">
        <v>1</v>
      </c>
      <c r="BD101" s="2" t="s">
        <v>3</v>
      </c>
      <c r="BE101" s="2" t="s">
        <v>3</v>
      </c>
      <c r="BF101" s="2" t="s">
        <v>3</v>
      </c>
      <c r="BG101" s="2" t="s">
        <v>3</v>
      </c>
      <c r="BH101" s="2">
        <v>0</v>
      </c>
      <c r="BI101" s="2">
        <v>1</v>
      </c>
      <c r="BJ101" s="2" t="s">
        <v>168</v>
      </c>
      <c r="BK101" s="2"/>
      <c r="BL101" s="2"/>
      <c r="BM101" s="2">
        <v>161</v>
      </c>
      <c r="BN101" s="2">
        <v>0</v>
      </c>
      <c r="BO101" s="2" t="s">
        <v>3</v>
      </c>
      <c r="BP101" s="2">
        <v>0</v>
      </c>
      <c r="BQ101" s="2">
        <v>30</v>
      </c>
      <c r="BR101" s="2">
        <v>0</v>
      </c>
      <c r="BS101" s="2">
        <v>1</v>
      </c>
      <c r="BT101" s="2">
        <v>1</v>
      </c>
      <c r="BU101" s="2">
        <v>1</v>
      </c>
      <c r="BV101" s="2">
        <v>1</v>
      </c>
      <c r="BW101" s="2">
        <v>1</v>
      </c>
      <c r="BX101" s="2">
        <v>1</v>
      </c>
      <c r="BY101" s="2" t="s">
        <v>3</v>
      </c>
      <c r="BZ101" s="2">
        <v>134</v>
      </c>
      <c r="CA101" s="2">
        <v>83</v>
      </c>
      <c r="CB101" s="2"/>
      <c r="CC101" s="2"/>
      <c r="CD101" s="2"/>
      <c r="CE101" s="2">
        <v>30</v>
      </c>
      <c r="CF101" s="2">
        <v>0</v>
      </c>
      <c r="CG101" s="2">
        <v>0</v>
      </c>
      <c r="CH101" s="2"/>
      <c r="CI101" s="2"/>
      <c r="CJ101" s="2"/>
      <c r="CK101" s="2"/>
      <c r="CL101" s="2"/>
      <c r="CM101" s="2">
        <v>0</v>
      </c>
      <c r="CN101" s="2" t="s">
        <v>3</v>
      </c>
      <c r="CO101" s="2">
        <v>0</v>
      </c>
      <c r="CP101" s="2">
        <f t="shared" si="94"/>
        <v>1094.44</v>
      </c>
      <c r="CQ101" s="2">
        <f t="shared" si="95"/>
        <v>3</v>
      </c>
      <c r="CR101" s="2">
        <f t="shared" si="96"/>
        <v>402.27</v>
      </c>
      <c r="CS101" s="2">
        <f t="shared" si="97"/>
        <v>35.39</v>
      </c>
      <c r="CT101" s="2">
        <f t="shared" si="98"/>
        <v>4959.66</v>
      </c>
      <c r="CU101" s="2">
        <f t="shared" si="99"/>
        <v>0</v>
      </c>
      <c r="CV101" s="2">
        <f t="shared" si="100"/>
        <v>393</v>
      </c>
      <c r="CW101" s="2">
        <f t="shared" si="101"/>
        <v>0</v>
      </c>
      <c r="CX101" s="2">
        <f t="shared" si="102"/>
        <v>0</v>
      </c>
      <c r="CY101" s="2">
        <f>((S101*BZ101)/100)</f>
        <v>1355.7718</v>
      </c>
      <c r="CZ101" s="2">
        <f>((S101*CA101)/100)</f>
        <v>839.76909999999998</v>
      </c>
      <c r="DA101" s="2"/>
      <c r="DB101" s="2"/>
      <c r="DC101" s="2" t="s">
        <v>3</v>
      </c>
      <c r="DD101" s="2" t="s">
        <v>3</v>
      </c>
      <c r="DE101" s="2" t="s">
        <v>3</v>
      </c>
      <c r="DF101" s="2" t="s">
        <v>3</v>
      </c>
      <c r="DG101" s="2" t="s">
        <v>3</v>
      </c>
      <c r="DH101" s="2" t="s">
        <v>3</v>
      </c>
      <c r="DI101" s="2" t="s">
        <v>3</v>
      </c>
      <c r="DJ101" s="2" t="s">
        <v>3</v>
      </c>
      <c r="DK101" s="2" t="s">
        <v>3</v>
      </c>
      <c r="DL101" s="2" t="s">
        <v>3</v>
      </c>
      <c r="DM101" s="2" t="s">
        <v>3</v>
      </c>
      <c r="DN101" s="2">
        <v>0</v>
      </c>
      <c r="DO101" s="2">
        <v>0</v>
      </c>
      <c r="DP101" s="2">
        <v>1</v>
      </c>
      <c r="DQ101" s="2">
        <v>1</v>
      </c>
      <c r="DR101" s="2"/>
      <c r="DS101" s="2"/>
      <c r="DT101" s="2"/>
      <c r="DU101" s="2">
        <v>1005</v>
      </c>
      <c r="DV101" s="2" t="s">
        <v>167</v>
      </c>
      <c r="DW101" s="2" t="s">
        <v>167</v>
      </c>
      <c r="DX101" s="2">
        <v>100</v>
      </c>
      <c r="DY101" s="2"/>
      <c r="DZ101" s="2"/>
      <c r="EA101" s="2"/>
      <c r="EB101" s="2"/>
      <c r="EC101" s="2"/>
      <c r="ED101" s="2"/>
      <c r="EE101" s="2">
        <v>45706621</v>
      </c>
      <c r="EF101" s="2">
        <v>30</v>
      </c>
      <c r="EG101" s="2" t="s">
        <v>58</v>
      </c>
      <c r="EH101" s="2">
        <v>0</v>
      </c>
      <c r="EI101" s="2" t="s">
        <v>3</v>
      </c>
      <c r="EJ101" s="2">
        <v>1</v>
      </c>
      <c r="EK101" s="2">
        <v>161</v>
      </c>
      <c r="EL101" s="2" t="s">
        <v>169</v>
      </c>
      <c r="EM101" s="2" t="s">
        <v>170</v>
      </c>
      <c r="EN101" s="2"/>
      <c r="EO101" s="2" t="s">
        <v>3</v>
      </c>
      <c r="EP101" s="2"/>
      <c r="EQ101" s="2">
        <v>0</v>
      </c>
      <c r="ER101" s="2">
        <v>5364.93</v>
      </c>
      <c r="ES101" s="2">
        <v>3</v>
      </c>
      <c r="ET101" s="2">
        <v>402.27</v>
      </c>
      <c r="EU101" s="2">
        <v>35.39</v>
      </c>
      <c r="EV101" s="2">
        <v>4959.66</v>
      </c>
      <c r="EW101" s="2">
        <v>393</v>
      </c>
      <c r="EX101" s="2">
        <v>0</v>
      </c>
      <c r="EY101" s="2">
        <v>0</v>
      </c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>
        <v>0</v>
      </c>
      <c r="FR101" s="2">
        <f t="shared" si="103"/>
        <v>0</v>
      </c>
      <c r="FS101" s="2">
        <v>0</v>
      </c>
      <c r="FT101" s="2"/>
      <c r="FU101" s="2"/>
      <c r="FV101" s="2"/>
      <c r="FW101" s="2"/>
      <c r="FX101" s="2">
        <v>134</v>
      </c>
      <c r="FY101" s="2">
        <v>83</v>
      </c>
      <c r="FZ101" s="2"/>
      <c r="GA101" s="2" t="s">
        <v>3</v>
      </c>
      <c r="GB101" s="2"/>
      <c r="GC101" s="2"/>
      <c r="GD101" s="2">
        <v>0</v>
      </c>
      <c r="GE101" s="2"/>
      <c r="GF101" s="2">
        <v>-643718989</v>
      </c>
      <c r="GG101" s="2">
        <v>2</v>
      </c>
      <c r="GH101" s="2">
        <v>1</v>
      </c>
      <c r="GI101" s="2">
        <v>-2</v>
      </c>
      <c r="GJ101" s="2">
        <v>0</v>
      </c>
      <c r="GK101" s="2">
        <f>ROUND(R101*(R12)/100,2)</f>
        <v>12.64</v>
      </c>
      <c r="GL101" s="2">
        <f t="shared" si="104"/>
        <v>0</v>
      </c>
      <c r="GM101" s="2">
        <f t="shared" si="112"/>
        <v>3302.62</v>
      </c>
      <c r="GN101" s="2">
        <f t="shared" si="113"/>
        <v>3302.62</v>
      </c>
      <c r="GO101" s="2">
        <f t="shared" si="114"/>
        <v>0</v>
      </c>
      <c r="GP101" s="2">
        <f t="shared" si="115"/>
        <v>0</v>
      </c>
      <c r="GQ101" s="2"/>
      <c r="GR101" s="2">
        <v>0</v>
      </c>
      <c r="GS101" s="2">
        <v>3</v>
      </c>
      <c r="GT101" s="2">
        <v>0</v>
      </c>
      <c r="GU101" s="2" t="s">
        <v>3</v>
      </c>
      <c r="GV101" s="2">
        <f t="shared" si="109"/>
        <v>0</v>
      </c>
      <c r="GW101" s="2">
        <v>1</v>
      </c>
      <c r="GX101" s="2">
        <f t="shared" si="110"/>
        <v>0</v>
      </c>
      <c r="GY101" s="2"/>
      <c r="GZ101" s="2"/>
      <c r="HA101" s="2">
        <v>0</v>
      </c>
      <c r="HB101" s="2">
        <v>0</v>
      </c>
      <c r="HC101" s="2">
        <f t="shared" si="111"/>
        <v>0</v>
      </c>
      <c r="HD101" s="2"/>
      <c r="HE101" s="2" t="s">
        <v>3</v>
      </c>
      <c r="HF101" s="2" t="s">
        <v>3</v>
      </c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>
        <v>0</v>
      </c>
      <c r="IL101" s="2"/>
      <c r="IM101" s="2"/>
      <c r="IN101" s="2"/>
      <c r="IO101" s="2"/>
      <c r="IP101" s="2"/>
      <c r="IQ101" s="2"/>
      <c r="IR101" s="2"/>
      <c r="IS101" s="2"/>
      <c r="IT101" s="2"/>
      <c r="IU101" s="2"/>
    </row>
    <row r="102" spans="1:255" x14ac:dyDescent="0.2">
      <c r="A102">
        <v>17</v>
      </c>
      <c r="B102">
        <v>1</v>
      </c>
      <c r="C102">
        <f>ROW(SmtRes!A84)</f>
        <v>84</v>
      </c>
      <c r="D102">
        <f>ROW(EtalonRes!A84)</f>
        <v>84</v>
      </c>
      <c r="E102" t="s">
        <v>164</v>
      </c>
      <c r="F102" t="s">
        <v>165</v>
      </c>
      <c r="G102" t="s">
        <v>166</v>
      </c>
      <c r="H102" t="s">
        <v>167</v>
      </c>
      <c r="I102">
        <f>ROUND((102*0.1*2)/100,9)</f>
        <v>0.20399999999999999</v>
      </c>
      <c r="J102">
        <v>0</v>
      </c>
      <c r="O102">
        <f t="shared" si="74"/>
        <v>26120.44</v>
      </c>
      <c r="P102">
        <f t="shared" si="75"/>
        <v>3.71</v>
      </c>
      <c r="Q102">
        <f t="shared" si="76"/>
        <v>690.95</v>
      </c>
      <c r="R102">
        <f t="shared" si="77"/>
        <v>181.44</v>
      </c>
      <c r="S102">
        <f t="shared" si="78"/>
        <v>25425.78</v>
      </c>
      <c r="T102">
        <f t="shared" si="79"/>
        <v>0</v>
      </c>
      <c r="U102">
        <f t="shared" si="80"/>
        <v>80.171999999999997</v>
      </c>
      <c r="V102">
        <f t="shared" si="81"/>
        <v>0</v>
      </c>
      <c r="W102">
        <f t="shared" si="82"/>
        <v>0</v>
      </c>
      <c r="X102">
        <f t="shared" si="83"/>
        <v>26951.33</v>
      </c>
      <c r="Y102">
        <f t="shared" si="84"/>
        <v>10424.57</v>
      </c>
      <c r="AA102">
        <v>45747932</v>
      </c>
      <c r="AB102">
        <f t="shared" si="85"/>
        <v>5364.93</v>
      </c>
      <c r="AC102">
        <f t="shared" si="86"/>
        <v>3</v>
      </c>
      <c r="AD102">
        <f t="shared" si="87"/>
        <v>402.27</v>
      </c>
      <c r="AE102">
        <f t="shared" si="88"/>
        <v>35.39</v>
      </c>
      <c r="AF102">
        <f t="shared" si="89"/>
        <v>4959.66</v>
      </c>
      <c r="AG102">
        <f t="shared" si="90"/>
        <v>0</v>
      </c>
      <c r="AH102">
        <f t="shared" si="91"/>
        <v>393</v>
      </c>
      <c r="AI102">
        <f t="shared" si="92"/>
        <v>0</v>
      </c>
      <c r="AJ102">
        <f t="shared" si="93"/>
        <v>0</v>
      </c>
      <c r="AK102">
        <v>5364.93</v>
      </c>
      <c r="AL102">
        <v>3</v>
      </c>
      <c r="AM102">
        <v>402.27</v>
      </c>
      <c r="AN102">
        <v>35.39</v>
      </c>
      <c r="AO102">
        <v>4959.66</v>
      </c>
      <c r="AP102">
        <v>0</v>
      </c>
      <c r="AQ102">
        <v>393</v>
      </c>
      <c r="AR102">
        <v>0</v>
      </c>
      <c r="AS102">
        <v>0</v>
      </c>
      <c r="AT102">
        <v>106</v>
      </c>
      <c r="AU102">
        <v>41</v>
      </c>
      <c r="AV102">
        <v>1</v>
      </c>
      <c r="AW102">
        <v>1</v>
      </c>
      <c r="AZ102">
        <v>1</v>
      </c>
      <c r="BA102">
        <v>25.13</v>
      </c>
      <c r="BB102">
        <v>8.42</v>
      </c>
      <c r="BC102">
        <v>6.08</v>
      </c>
      <c r="BD102" t="s">
        <v>3</v>
      </c>
      <c r="BE102" t="s">
        <v>3</v>
      </c>
      <c r="BF102" t="s">
        <v>3</v>
      </c>
      <c r="BG102" t="s">
        <v>3</v>
      </c>
      <c r="BH102">
        <v>0</v>
      </c>
      <c r="BI102">
        <v>1</v>
      </c>
      <c r="BJ102" t="s">
        <v>168</v>
      </c>
      <c r="BM102">
        <v>161</v>
      </c>
      <c r="BN102">
        <v>0</v>
      </c>
      <c r="BO102" t="s">
        <v>165</v>
      </c>
      <c r="BP102">
        <v>1</v>
      </c>
      <c r="BQ102">
        <v>30</v>
      </c>
      <c r="BR102">
        <v>0</v>
      </c>
      <c r="BS102">
        <v>25.13</v>
      </c>
      <c r="BT102">
        <v>1</v>
      </c>
      <c r="BU102">
        <v>1</v>
      </c>
      <c r="BV102">
        <v>1</v>
      </c>
      <c r="BW102">
        <v>1</v>
      </c>
      <c r="BX102">
        <v>1</v>
      </c>
      <c r="BY102" t="s">
        <v>3</v>
      </c>
      <c r="BZ102">
        <v>106</v>
      </c>
      <c r="CA102">
        <v>41</v>
      </c>
      <c r="CE102">
        <v>30</v>
      </c>
      <c r="CF102">
        <v>0</v>
      </c>
      <c r="CG102">
        <v>0</v>
      </c>
      <c r="CM102">
        <v>0</v>
      </c>
      <c r="CN102" t="s">
        <v>3</v>
      </c>
      <c r="CO102">
        <v>0</v>
      </c>
      <c r="CP102">
        <f t="shared" si="94"/>
        <v>26120.44</v>
      </c>
      <c r="CQ102">
        <f t="shared" si="95"/>
        <v>18.239999999999998</v>
      </c>
      <c r="CR102">
        <f t="shared" si="96"/>
        <v>3387.11</v>
      </c>
      <c r="CS102">
        <f t="shared" si="97"/>
        <v>889.35</v>
      </c>
      <c r="CT102">
        <f t="shared" si="98"/>
        <v>124636.26</v>
      </c>
      <c r="CU102">
        <f t="shared" si="99"/>
        <v>0</v>
      </c>
      <c r="CV102">
        <f t="shared" si="100"/>
        <v>393</v>
      </c>
      <c r="CW102">
        <f t="shared" si="101"/>
        <v>0</v>
      </c>
      <c r="CX102">
        <f t="shared" si="102"/>
        <v>0</v>
      </c>
      <c r="CY102">
        <f>S102*(BZ102/100)</f>
        <v>26951.326799999999</v>
      </c>
      <c r="CZ102">
        <f>S102*(CA102/100)</f>
        <v>10424.569799999999</v>
      </c>
      <c r="DC102" t="s">
        <v>3</v>
      </c>
      <c r="DD102" t="s">
        <v>3</v>
      </c>
      <c r="DE102" t="s">
        <v>3</v>
      </c>
      <c r="DF102" t="s">
        <v>3</v>
      </c>
      <c r="DG102" t="s">
        <v>3</v>
      </c>
      <c r="DH102" t="s">
        <v>3</v>
      </c>
      <c r="DI102" t="s">
        <v>3</v>
      </c>
      <c r="DJ102" t="s">
        <v>3</v>
      </c>
      <c r="DK102" t="s">
        <v>3</v>
      </c>
      <c r="DL102" t="s">
        <v>3</v>
      </c>
      <c r="DM102" t="s">
        <v>3</v>
      </c>
      <c r="DN102">
        <v>134</v>
      </c>
      <c r="DO102">
        <v>83</v>
      </c>
      <c r="DP102">
        <v>1</v>
      </c>
      <c r="DQ102">
        <v>1</v>
      </c>
      <c r="DU102">
        <v>1005</v>
      </c>
      <c r="DV102" t="s">
        <v>167</v>
      </c>
      <c r="DW102" t="s">
        <v>167</v>
      </c>
      <c r="DX102">
        <v>100</v>
      </c>
      <c r="EE102">
        <v>45706621</v>
      </c>
      <c r="EF102">
        <v>30</v>
      </c>
      <c r="EG102" t="s">
        <v>58</v>
      </c>
      <c r="EH102">
        <v>0</v>
      </c>
      <c r="EI102" t="s">
        <v>3</v>
      </c>
      <c r="EJ102">
        <v>1</v>
      </c>
      <c r="EK102">
        <v>161</v>
      </c>
      <c r="EL102" t="s">
        <v>169</v>
      </c>
      <c r="EM102" t="s">
        <v>170</v>
      </c>
      <c r="EO102" t="s">
        <v>3</v>
      </c>
      <c r="EQ102">
        <v>0</v>
      </c>
      <c r="ER102">
        <v>5364.93</v>
      </c>
      <c r="ES102">
        <v>3</v>
      </c>
      <c r="ET102">
        <v>402.27</v>
      </c>
      <c r="EU102">
        <v>35.39</v>
      </c>
      <c r="EV102">
        <v>4959.66</v>
      </c>
      <c r="EW102">
        <v>393</v>
      </c>
      <c r="EX102">
        <v>0</v>
      </c>
      <c r="EY102">
        <v>0</v>
      </c>
      <c r="FQ102">
        <v>0</v>
      </c>
      <c r="FR102">
        <f t="shared" si="103"/>
        <v>0</v>
      </c>
      <c r="FS102">
        <v>0</v>
      </c>
      <c r="FX102">
        <v>134</v>
      </c>
      <c r="FY102">
        <v>83</v>
      </c>
      <c r="GA102" t="s">
        <v>3</v>
      </c>
      <c r="GD102">
        <v>0</v>
      </c>
      <c r="GF102">
        <v>-643718989</v>
      </c>
      <c r="GG102">
        <v>2</v>
      </c>
      <c r="GH102">
        <v>1</v>
      </c>
      <c r="GI102">
        <v>2</v>
      </c>
      <c r="GJ102">
        <v>0</v>
      </c>
      <c r="GK102">
        <f>ROUND(R102*(S12)/100,2)</f>
        <v>284.86</v>
      </c>
      <c r="GL102">
        <f t="shared" si="104"/>
        <v>0</v>
      </c>
      <c r="GM102">
        <f t="shared" si="112"/>
        <v>63781.2</v>
      </c>
      <c r="GN102">
        <f t="shared" si="113"/>
        <v>63781.2</v>
      </c>
      <c r="GO102">
        <f t="shared" si="114"/>
        <v>0</v>
      </c>
      <c r="GP102">
        <f t="shared" si="115"/>
        <v>0</v>
      </c>
      <c r="GR102">
        <v>0</v>
      </c>
      <c r="GS102">
        <v>3</v>
      </c>
      <c r="GT102">
        <v>0</v>
      </c>
      <c r="GU102" t="s">
        <v>3</v>
      </c>
      <c r="GV102">
        <f t="shared" si="109"/>
        <v>0</v>
      </c>
      <c r="GW102">
        <v>1</v>
      </c>
      <c r="GX102">
        <f t="shared" si="110"/>
        <v>0</v>
      </c>
      <c r="HA102">
        <v>0</v>
      </c>
      <c r="HB102">
        <v>0</v>
      </c>
      <c r="HC102">
        <f t="shared" si="111"/>
        <v>0</v>
      </c>
      <c r="HE102" t="s">
        <v>3</v>
      </c>
      <c r="HF102" t="s">
        <v>3</v>
      </c>
      <c r="IK102">
        <v>0</v>
      </c>
    </row>
    <row r="103" spans="1:255" x14ac:dyDescent="0.2">
      <c r="A103" s="2">
        <v>18</v>
      </c>
      <c r="B103" s="2">
        <v>1</v>
      </c>
      <c r="C103" s="2">
        <v>76</v>
      </c>
      <c r="D103" s="2"/>
      <c r="E103" s="2" t="s">
        <v>171</v>
      </c>
      <c r="F103" s="2" t="s">
        <v>172</v>
      </c>
      <c r="G103" s="2" t="s">
        <v>173</v>
      </c>
      <c r="H103" s="2" t="s">
        <v>17</v>
      </c>
      <c r="I103" s="2">
        <f>I101*J103</f>
        <v>36.72</v>
      </c>
      <c r="J103" s="2">
        <v>180</v>
      </c>
      <c r="K103" s="2"/>
      <c r="L103" s="2"/>
      <c r="M103" s="2"/>
      <c r="N103" s="2"/>
      <c r="O103" s="2">
        <f t="shared" si="74"/>
        <v>150653.93</v>
      </c>
      <c r="P103" s="2">
        <f t="shared" si="75"/>
        <v>150653.93</v>
      </c>
      <c r="Q103" s="2">
        <f t="shared" si="76"/>
        <v>0</v>
      </c>
      <c r="R103" s="2">
        <f t="shared" si="77"/>
        <v>0</v>
      </c>
      <c r="S103" s="2">
        <f t="shared" si="78"/>
        <v>0</v>
      </c>
      <c r="T103" s="2">
        <f t="shared" si="79"/>
        <v>0</v>
      </c>
      <c r="U103" s="2">
        <f t="shared" si="80"/>
        <v>0</v>
      </c>
      <c r="V103" s="2">
        <f t="shared" si="81"/>
        <v>0</v>
      </c>
      <c r="W103" s="2">
        <f t="shared" si="82"/>
        <v>0</v>
      </c>
      <c r="X103" s="2">
        <f t="shared" si="83"/>
        <v>0</v>
      </c>
      <c r="Y103" s="2">
        <f t="shared" si="84"/>
        <v>0</v>
      </c>
      <c r="Z103" s="2"/>
      <c r="AA103" s="2">
        <v>45748053</v>
      </c>
      <c r="AB103" s="2">
        <f t="shared" si="85"/>
        <v>4102.7759999999998</v>
      </c>
      <c r="AC103" s="2">
        <f>ROUND(((ES103*1.8)),6)</f>
        <v>4102.7759999999998</v>
      </c>
      <c r="AD103" s="2">
        <f t="shared" si="87"/>
        <v>0</v>
      </c>
      <c r="AE103" s="2">
        <f t="shared" si="88"/>
        <v>0</v>
      </c>
      <c r="AF103" s="2">
        <f t="shared" si="89"/>
        <v>0</v>
      </c>
      <c r="AG103" s="2">
        <f t="shared" si="90"/>
        <v>0</v>
      </c>
      <c r="AH103" s="2">
        <f t="shared" si="91"/>
        <v>0</v>
      </c>
      <c r="AI103" s="2">
        <f t="shared" si="92"/>
        <v>0</v>
      </c>
      <c r="AJ103" s="2">
        <f t="shared" si="93"/>
        <v>0</v>
      </c>
      <c r="AK103" s="2">
        <v>2279.3200000000002</v>
      </c>
      <c r="AL103" s="2">
        <v>2279.3200000000002</v>
      </c>
      <c r="AM103" s="2">
        <v>0</v>
      </c>
      <c r="AN103" s="2">
        <v>0</v>
      </c>
      <c r="AO103" s="2">
        <v>0</v>
      </c>
      <c r="AP103" s="2">
        <v>0</v>
      </c>
      <c r="AQ103" s="2">
        <v>0</v>
      </c>
      <c r="AR103" s="2">
        <v>0</v>
      </c>
      <c r="AS103" s="2">
        <v>0</v>
      </c>
      <c r="AT103" s="2">
        <v>134</v>
      </c>
      <c r="AU103" s="2">
        <v>83</v>
      </c>
      <c r="AV103" s="2">
        <v>1</v>
      </c>
      <c r="AW103" s="2">
        <v>1</v>
      </c>
      <c r="AX103" s="2"/>
      <c r="AY103" s="2"/>
      <c r="AZ103" s="2">
        <v>1</v>
      </c>
      <c r="BA103" s="2">
        <v>1</v>
      </c>
      <c r="BB103" s="2">
        <v>1</v>
      </c>
      <c r="BC103" s="2">
        <v>1</v>
      </c>
      <c r="BD103" s="2" t="s">
        <v>3</v>
      </c>
      <c r="BE103" s="2" t="s">
        <v>3</v>
      </c>
      <c r="BF103" s="2" t="s">
        <v>3</v>
      </c>
      <c r="BG103" s="2" t="s">
        <v>3</v>
      </c>
      <c r="BH103" s="2">
        <v>3</v>
      </c>
      <c r="BI103" s="2">
        <v>1</v>
      </c>
      <c r="BJ103" s="2" t="s">
        <v>174</v>
      </c>
      <c r="BK103" s="2"/>
      <c r="BL103" s="2"/>
      <c r="BM103" s="2">
        <v>161</v>
      </c>
      <c r="BN103" s="2">
        <v>0</v>
      </c>
      <c r="BO103" s="2" t="s">
        <v>3</v>
      </c>
      <c r="BP103" s="2">
        <v>0</v>
      </c>
      <c r="BQ103" s="2">
        <v>30</v>
      </c>
      <c r="BR103" s="2">
        <v>0</v>
      </c>
      <c r="BS103" s="2">
        <v>1</v>
      </c>
      <c r="BT103" s="2">
        <v>1</v>
      </c>
      <c r="BU103" s="2">
        <v>1</v>
      </c>
      <c r="BV103" s="2">
        <v>1</v>
      </c>
      <c r="BW103" s="2">
        <v>1</v>
      </c>
      <c r="BX103" s="2">
        <v>1</v>
      </c>
      <c r="BY103" s="2" t="s">
        <v>3</v>
      </c>
      <c r="BZ103" s="2">
        <v>134</v>
      </c>
      <c r="CA103" s="2">
        <v>83</v>
      </c>
      <c r="CB103" s="2"/>
      <c r="CC103" s="2"/>
      <c r="CD103" s="2"/>
      <c r="CE103" s="2">
        <v>30</v>
      </c>
      <c r="CF103" s="2">
        <v>0</v>
      </c>
      <c r="CG103" s="2">
        <v>0</v>
      </c>
      <c r="CH103" s="2"/>
      <c r="CI103" s="2"/>
      <c r="CJ103" s="2"/>
      <c r="CK103" s="2"/>
      <c r="CL103" s="2"/>
      <c r="CM103" s="2">
        <v>0</v>
      </c>
      <c r="CN103" s="2" t="s">
        <v>3</v>
      </c>
      <c r="CO103" s="2">
        <v>0</v>
      </c>
      <c r="CP103" s="2">
        <f t="shared" si="94"/>
        <v>150653.93</v>
      </c>
      <c r="CQ103" s="2">
        <f t="shared" si="95"/>
        <v>4102.78</v>
      </c>
      <c r="CR103" s="2">
        <f t="shared" si="96"/>
        <v>0</v>
      </c>
      <c r="CS103" s="2">
        <f t="shared" si="97"/>
        <v>0</v>
      </c>
      <c r="CT103" s="2">
        <f t="shared" si="98"/>
        <v>0</v>
      </c>
      <c r="CU103" s="2">
        <f t="shared" si="99"/>
        <v>0</v>
      </c>
      <c r="CV103" s="2">
        <f t="shared" si="100"/>
        <v>0</v>
      </c>
      <c r="CW103" s="2">
        <f t="shared" si="101"/>
        <v>0</v>
      </c>
      <c r="CX103" s="2">
        <f t="shared" si="102"/>
        <v>0</v>
      </c>
      <c r="CY103" s="2">
        <f>((S103*BZ103)/100)</f>
        <v>0</v>
      </c>
      <c r="CZ103" s="2">
        <f>((S103*CA103)/100)</f>
        <v>0</v>
      </c>
      <c r="DA103" s="2"/>
      <c r="DB103" s="2"/>
      <c r="DC103" s="2" t="s">
        <v>3</v>
      </c>
      <c r="DD103" s="2" t="s">
        <v>175</v>
      </c>
      <c r="DE103" s="2" t="s">
        <v>3</v>
      </c>
      <c r="DF103" s="2" t="s">
        <v>3</v>
      </c>
      <c r="DG103" s="2" t="s">
        <v>3</v>
      </c>
      <c r="DH103" s="2" t="s">
        <v>3</v>
      </c>
      <c r="DI103" s="2" t="s">
        <v>3</v>
      </c>
      <c r="DJ103" s="2" t="s">
        <v>3</v>
      </c>
      <c r="DK103" s="2" t="s">
        <v>3</v>
      </c>
      <c r="DL103" s="2" t="s">
        <v>3</v>
      </c>
      <c r="DM103" s="2" t="s">
        <v>3</v>
      </c>
      <c r="DN103" s="2">
        <v>0</v>
      </c>
      <c r="DO103" s="2">
        <v>0</v>
      </c>
      <c r="DP103" s="2">
        <v>1</v>
      </c>
      <c r="DQ103" s="2">
        <v>1</v>
      </c>
      <c r="DR103" s="2"/>
      <c r="DS103" s="2"/>
      <c r="DT103" s="2"/>
      <c r="DU103" s="2">
        <v>1005</v>
      </c>
      <c r="DV103" s="2" t="s">
        <v>17</v>
      </c>
      <c r="DW103" s="2" t="s">
        <v>17</v>
      </c>
      <c r="DX103" s="2">
        <v>1</v>
      </c>
      <c r="DY103" s="2"/>
      <c r="DZ103" s="2"/>
      <c r="EA103" s="2"/>
      <c r="EB103" s="2"/>
      <c r="EC103" s="2"/>
      <c r="ED103" s="2"/>
      <c r="EE103" s="2">
        <v>45706621</v>
      </c>
      <c r="EF103" s="2">
        <v>30</v>
      </c>
      <c r="EG103" s="2" t="s">
        <v>58</v>
      </c>
      <c r="EH103" s="2">
        <v>0</v>
      </c>
      <c r="EI103" s="2" t="s">
        <v>3</v>
      </c>
      <c r="EJ103" s="2">
        <v>1</v>
      </c>
      <c r="EK103" s="2">
        <v>161</v>
      </c>
      <c r="EL103" s="2" t="s">
        <v>169</v>
      </c>
      <c r="EM103" s="2" t="s">
        <v>170</v>
      </c>
      <c r="EN103" s="2"/>
      <c r="EO103" s="2" t="s">
        <v>3</v>
      </c>
      <c r="EP103" s="2"/>
      <c r="EQ103" s="2">
        <v>0</v>
      </c>
      <c r="ER103" s="2">
        <v>2279.3200000000002</v>
      </c>
      <c r="ES103" s="2">
        <v>2279.3200000000002</v>
      </c>
      <c r="ET103" s="2">
        <v>0</v>
      </c>
      <c r="EU103" s="2">
        <v>0</v>
      </c>
      <c r="EV103" s="2">
        <v>0</v>
      </c>
      <c r="EW103" s="2">
        <v>0</v>
      </c>
      <c r="EX103" s="2">
        <v>0</v>
      </c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>
        <v>0</v>
      </c>
      <c r="FR103" s="2">
        <f t="shared" si="103"/>
        <v>0</v>
      </c>
      <c r="FS103" s="2">
        <v>0</v>
      </c>
      <c r="FT103" s="2"/>
      <c r="FU103" s="2"/>
      <c r="FV103" s="2"/>
      <c r="FW103" s="2"/>
      <c r="FX103" s="2">
        <v>134</v>
      </c>
      <c r="FY103" s="2">
        <v>83</v>
      </c>
      <c r="FZ103" s="2"/>
      <c r="GA103" s="2" t="s">
        <v>3</v>
      </c>
      <c r="GB103" s="2"/>
      <c r="GC103" s="2"/>
      <c r="GD103" s="2">
        <v>0</v>
      </c>
      <c r="GE103" s="2"/>
      <c r="GF103" s="2">
        <v>-117340116</v>
      </c>
      <c r="GG103" s="2">
        <v>2</v>
      </c>
      <c r="GH103" s="2">
        <v>1</v>
      </c>
      <c r="GI103" s="2">
        <v>-2</v>
      </c>
      <c r="GJ103" s="2">
        <v>0</v>
      </c>
      <c r="GK103" s="2">
        <f>ROUND(R103*(R12)/100,2)</f>
        <v>0</v>
      </c>
      <c r="GL103" s="2">
        <f t="shared" si="104"/>
        <v>0</v>
      </c>
      <c r="GM103" s="2">
        <f t="shared" si="112"/>
        <v>150653.93</v>
      </c>
      <c r="GN103" s="2">
        <f t="shared" si="113"/>
        <v>150653.93</v>
      </c>
      <c r="GO103" s="2">
        <f t="shared" si="114"/>
        <v>0</v>
      </c>
      <c r="GP103" s="2">
        <f t="shared" si="115"/>
        <v>0</v>
      </c>
      <c r="GQ103" s="2"/>
      <c r="GR103" s="2">
        <v>0</v>
      </c>
      <c r="GS103" s="2">
        <v>3</v>
      </c>
      <c r="GT103" s="2">
        <v>0</v>
      </c>
      <c r="GU103" s="2" t="s">
        <v>3</v>
      </c>
      <c r="GV103" s="2">
        <f t="shared" si="109"/>
        <v>0</v>
      </c>
      <c r="GW103" s="2">
        <v>1</v>
      </c>
      <c r="GX103" s="2">
        <f t="shared" si="110"/>
        <v>0</v>
      </c>
      <c r="GY103" s="2"/>
      <c r="GZ103" s="2"/>
      <c r="HA103" s="2">
        <v>0</v>
      </c>
      <c r="HB103" s="2">
        <v>0</v>
      </c>
      <c r="HC103" s="2">
        <f t="shared" si="111"/>
        <v>0</v>
      </c>
      <c r="HD103" s="2"/>
      <c r="HE103" s="2" t="s">
        <v>3</v>
      </c>
      <c r="HF103" s="2" t="s">
        <v>3</v>
      </c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>
        <v>0</v>
      </c>
      <c r="IL103" s="2"/>
      <c r="IM103" s="2"/>
      <c r="IN103" s="2"/>
      <c r="IO103" s="2"/>
      <c r="IP103" s="2"/>
      <c r="IQ103" s="2"/>
      <c r="IR103" s="2"/>
      <c r="IS103" s="2"/>
      <c r="IT103" s="2"/>
      <c r="IU103" s="2"/>
    </row>
    <row r="104" spans="1:255" x14ac:dyDescent="0.2">
      <c r="A104">
        <v>18</v>
      </c>
      <c r="B104">
        <v>1</v>
      </c>
      <c r="C104">
        <v>82</v>
      </c>
      <c r="E104" t="s">
        <v>171</v>
      </c>
      <c r="F104" t="s">
        <v>172</v>
      </c>
      <c r="G104" t="s">
        <v>173</v>
      </c>
      <c r="H104" t="s">
        <v>17</v>
      </c>
      <c r="I104">
        <f>I102*J104</f>
        <v>36.72</v>
      </c>
      <c r="J104">
        <v>180</v>
      </c>
      <c r="O104">
        <f t="shared" si="74"/>
        <v>352530.2</v>
      </c>
      <c r="P104">
        <f t="shared" si="75"/>
        <v>352530.2</v>
      </c>
      <c r="Q104">
        <f t="shared" si="76"/>
        <v>0</v>
      </c>
      <c r="R104">
        <f t="shared" si="77"/>
        <v>0</v>
      </c>
      <c r="S104">
        <f t="shared" si="78"/>
        <v>0</v>
      </c>
      <c r="T104">
        <f t="shared" si="79"/>
        <v>0</v>
      </c>
      <c r="U104">
        <f t="shared" si="80"/>
        <v>0</v>
      </c>
      <c r="V104">
        <f t="shared" si="81"/>
        <v>0</v>
      </c>
      <c r="W104">
        <f t="shared" si="82"/>
        <v>0</v>
      </c>
      <c r="X104">
        <f t="shared" si="83"/>
        <v>0</v>
      </c>
      <c r="Y104">
        <f t="shared" si="84"/>
        <v>0</v>
      </c>
      <c r="AA104">
        <v>45747932</v>
      </c>
      <c r="AB104">
        <f t="shared" si="85"/>
        <v>4102.7759999999998</v>
      </c>
      <c r="AC104">
        <f>ROUND(((ES104*1.8)),6)</f>
        <v>4102.7759999999998</v>
      </c>
      <c r="AD104">
        <f t="shared" si="87"/>
        <v>0</v>
      </c>
      <c r="AE104">
        <f t="shared" si="88"/>
        <v>0</v>
      </c>
      <c r="AF104">
        <f t="shared" si="89"/>
        <v>0</v>
      </c>
      <c r="AG104">
        <f t="shared" si="90"/>
        <v>0</v>
      </c>
      <c r="AH104">
        <f t="shared" si="91"/>
        <v>0</v>
      </c>
      <c r="AI104">
        <f t="shared" si="92"/>
        <v>0</v>
      </c>
      <c r="AJ104">
        <f t="shared" si="93"/>
        <v>0</v>
      </c>
      <c r="AK104">
        <v>2279.3200000000002</v>
      </c>
      <c r="AL104">
        <v>2279.3200000000002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  <c r="AS104">
        <v>0</v>
      </c>
      <c r="AT104">
        <v>0</v>
      </c>
      <c r="AU104">
        <v>0</v>
      </c>
      <c r="AV104">
        <v>1</v>
      </c>
      <c r="AW104">
        <v>1</v>
      </c>
      <c r="AZ104">
        <v>1</v>
      </c>
      <c r="BA104">
        <v>1</v>
      </c>
      <c r="BB104">
        <v>1</v>
      </c>
      <c r="BC104">
        <v>2.34</v>
      </c>
      <c r="BD104" t="s">
        <v>3</v>
      </c>
      <c r="BE104" t="s">
        <v>3</v>
      </c>
      <c r="BF104" t="s">
        <v>3</v>
      </c>
      <c r="BG104" t="s">
        <v>3</v>
      </c>
      <c r="BH104">
        <v>3</v>
      </c>
      <c r="BI104">
        <v>1</v>
      </c>
      <c r="BJ104" t="s">
        <v>174</v>
      </c>
      <c r="BM104">
        <v>161</v>
      </c>
      <c r="BN104">
        <v>0</v>
      </c>
      <c r="BO104" t="s">
        <v>172</v>
      </c>
      <c r="BP104">
        <v>1</v>
      </c>
      <c r="BQ104">
        <v>30</v>
      </c>
      <c r="BR104">
        <v>0</v>
      </c>
      <c r="BS104">
        <v>1</v>
      </c>
      <c r="BT104">
        <v>1</v>
      </c>
      <c r="BU104">
        <v>1</v>
      </c>
      <c r="BV104">
        <v>1</v>
      </c>
      <c r="BW104">
        <v>1</v>
      </c>
      <c r="BX104">
        <v>1</v>
      </c>
      <c r="BY104" t="s">
        <v>3</v>
      </c>
      <c r="BZ104">
        <v>0</v>
      </c>
      <c r="CA104">
        <v>0</v>
      </c>
      <c r="CE104">
        <v>30</v>
      </c>
      <c r="CF104">
        <v>0</v>
      </c>
      <c r="CG104">
        <v>0</v>
      </c>
      <c r="CM104">
        <v>0</v>
      </c>
      <c r="CN104" t="s">
        <v>3</v>
      </c>
      <c r="CO104">
        <v>0</v>
      </c>
      <c r="CP104">
        <f t="shared" si="94"/>
        <v>352530.2</v>
      </c>
      <c r="CQ104">
        <f t="shared" si="95"/>
        <v>9600.51</v>
      </c>
      <c r="CR104">
        <f t="shared" si="96"/>
        <v>0</v>
      </c>
      <c r="CS104">
        <f t="shared" si="97"/>
        <v>0</v>
      </c>
      <c r="CT104">
        <f t="shared" si="98"/>
        <v>0</v>
      </c>
      <c r="CU104">
        <f t="shared" si="99"/>
        <v>0</v>
      </c>
      <c r="CV104">
        <f t="shared" si="100"/>
        <v>0</v>
      </c>
      <c r="CW104">
        <f t="shared" si="101"/>
        <v>0</v>
      </c>
      <c r="CX104">
        <f t="shared" si="102"/>
        <v>0</v>
      </c>
      <c r="CY104">
        <f>S104*(BZ104/100)</f>
        <v>0</v>
      </c>
      <c r="CZ104">
        <f>S104*(CA104/100)</f>
        <v>0</v>
      </c>
      <c r="DC104" t="s">
        <v>3</v>
      </c>
      <c r="DD104" t="s">
        <v>175</v>
      </c>
      <c r="DE104" t="s">
        <v>3</v>
      </c>
      <c r="DF104" t="s">
        <v>3</v>
      </c>
      <c r="DG104" t="s">
        <v>3</v>
      </c>
      <c r="DH104" t="s">
        <v>3</v>
      </c>
      <c r="DI104" t="s">
        <v>3</v>
      </c>
      <c r="DJ104" t="s">
        <v>3</v>
      </c>
      <c r="DK104" t="s">
        <v>3</v>
      </c>
      <c r="DL104" t="s">
        <v>3</v>
      </c>
      <c r="DM104" t="s">
        <v>3</v>
      </c>
      <c r="DN104">
        <v>134</v>
      </c>
      <c r="DO104">
        <v>83</v>
      </c>
      <c r="DP104">
        <v>1</v>
      </c>
      <c r="DQ104">
        <v>1</v>
      </c>
      <c r="DU104">
        <v>1005</v>
      </c>
      <c r="DV104" t="s">
        <v>17</v>
      </c>
      <c r="DW104" t="s">
        <v>17</v>
      </c>
      <c r="DX104">
        <v>1</v>
      </c>
      <c r="EE104">
        <v>45706621</v>
      </c>
      <c r="EF104">
        <v>30</v>
      </c>
      <c r="EG104" t="s">
        <v>58</v>
      </c>
      <c r="EH104">
        <v>0</v>
      </c>
      <c r="EI104" t="s">
        <v>3</v>
      </c>
      <c r="EJ104">
        <v>1</v>
      </c>
      <c r="EK104">
        <v>161</v>
      </c>
      <c r="EL104" t="s">
        <v>169</v>
      </c>
      <c r="EM104" t="s">
        <v>170</v>
      </c>
      <c r="EO104" t="s">
        <v>3</v>
      </c>
      <c r="EQ104">
        <v>0</v>
      </c>
      <c r="ER104">
        <v>2279.3200000000002</v>
      </c>
      <c r="ES104">
        <v>2279.3200000000002</v>
      </c>
      <c r="ET104">
        <v>0</v>
      </c>
      <c r="EU104">
        <v>0</v>
      </c>
      <c r="EV104">
        <v>0</v>
      </c>
      <c r="EW104">
        <v>0</v>
      </c>
      <c r="EX104">
        <v>0</v>
      </c>
      <c r="FQ104">
        <v>0</v>
      </c>
      <c r="FR104">
        <f t="shared" si="103"/>
        <v>0</v>
      </c>
      <c r="FS104">
        <v>0</v>
      </c>
      <c r="FX104">
        <v>134</v>
      </c>
      <c r="FY104">
        <v>83</v>
      </c>
      <c r="GA104" t="s">
        <v>3</v>
      </c>
      <c r="GD104">
        <v>0</v>
      </c>
      <c r="GF104">
        <v>-117340116</v>
      </c>
      <c r="GG104">
        <v>2</v>
      </c>
      <c r="GH104">
        <v>1</v>
      </c>
      <c r="GI104">
        <v>2</v>
      </c>
      <c r="GJ104">
        <v>0</v>
      </c>
      <c r="GK104">
        <f>ROUND(R104*(S12)/100,2)</f>
        <v>0</v>
      </c>
      <c r="GL104">
        <f t="shared" si="104"/>
        <v>0</v>
      </c>
      <c r="GM104">
        <f t="shared" si="112"/>
        <v>352530.2</v>
      </c>
      <c r="GN104">
        <f t="shared" si="113"/>
        <v>352530.2</v>
      </c>
      <c r="GO104">
        <f t="shared" si="114"/>
        <v>0</v>
      </c>
      <c r="GP104">
        <f t="shared" si="115"/>
        <v>0</v>
      </c>
      <c r="GR104">
        <v>0</v>
      </c>
      <c r="GS104">
        <v>3</v>
      </c>
      <c r="GT104">
        <v>0</v>
      </c>
      <c r="GU104" t="s">
        <v>3</v>
      </c>
      <c r="GV104">
        <f t="shared" si="109"/>
        <v>0</v>
      </c>
      <c r="GW104">
        <v>1</v>
      </c>
      <c r="GX104">
        <f t="shared" si="110"/>
        <v>0</v>
      </c>
      <c r="HA104">
        <v>0</v>
      </c>
      <c r="HB104">
        <v>0</v>
      </c>
      <c r="HC104">
        <f t="shared" si="111"/>
        <v>0</v>
      </c>
      <c r="HE104" t="s">
        <v>3</v>
      </c>
      <c r="HF104" t="s">
        <v>3</v>
      </c>
      <c r="IK104">
        <v>0</v>
      </c>
    </row>
    <row r="105" spans="1:255" x14ac:dyDescent="0.2">
      <c r="A105" s="2">
        <v>18</v>
      </c>
      <c r="B105" s="2">
        <v>1</v>
      </c>
      <c r="C105" s="2">
        <v>77</v>
      </c>
      <c r="D105" s="2"/>
      <c r="E105" s="2" t="s">
        <v>176</v>
      </c>
      <c r="F105" s="2" t="s">
        <v>177</v>
      </c>
      <c r="G105" s="2" t="s">
        <v>178</v>
      </c>
      <c r="H105" s="2" t="s">
        <v>44</v>
      </c>
      <c r="I105" s="2">
        <f>I101*J105</f>
        <v>2.04</v>
      </c>
      <c r="J105" s="2">
        <v>10</v>
      </c>
      <c r="K105" s="2"/>
      <c r="L105" s="2"/>
      <c r="M105" s="2"/>
      <c r="N105" s="2"/>
      <c r="O105" s="2">
        <f t="shared" si="74"/>
        <v>959.76</v>
      </c>
      <c r="P105" s="2">
        <f t="shared" si="75"/>
        <v>959.76</v>
      </c>
      <c r="Q105" s="2">
        <f t="shared" si="76"/>
        <v>0</v>
      </c>
      <c r="R105" s="2">
        <f t="shared" si="77"/>
        <v>0</v>
      </c>
      <c r="S105" s="2">
        <f t="shared" si="78"/>
        <v>0</v>
      </c>
      <c r="T105" s="2">
        <f t="shared" si="79"/>
        <v>0</v>
      </c>
      <c r="U105" s="2">
        <f t="shared" si="80"/>
        <v>0</v>
      </c>
      <c r="V105" s="2">
        <f t="shared" si="81"/>
        <v>0</v>
      </c>
      <c r="W105" s="2">
        <f t="shared" si="82"/>
        <v>0</v>
      </c>
      <c r="X105" s="2">
        <f t="shared" si="83"/>
        <v>0</v>
      </c>
      <c r="Y105" s="2">
        <f t="shared" si="84"/>
        <v>0</v>
      </c>
      <c r="Z105" s="2"/>
      <c r="AA105" s="2">
        <v>45748053</v>
      </c>
      <c r="AB105" s="2">
        <f t="shared" si="85"/>
        <v>470.47</v>
      </c>
      <c r="AC105" s="2">
        <f t="shared" ref="AC105:AC110" si="116">ROUND((ES105),6)</f>
        <v>470.47</v>
      </c>
      <c r="AD105" s="2">
        <f t="shared" si="87"/>
        <v>0</v>
      </c>
      <c r="AE105" s="2">
        <f t="shared" si="88"/>
        <v>0</v>
      </c>
      <c r="AF105" s="2">
        <f t="shared" si="89"/>
        <v>0</v>
      </c>
      <c r="AG105" s="2">
        <f t="shared" si="90"/>
        <v>0</v>
      </c>
      <c r="AH105" s="2">
        <f t="shared" si="91"/>
        <v>0</v>
      </c>
      <c r="AI105" s="2">
        <f t="shared" si="92"/>
        <v>0</v>
      </c>
      <c r="AJ105" s="2">
        <f t="shared" si="93"/>
        <v>0</v>
      </c>
      <c r="AK105" s="2">
        <v>470.47</v>
      </c>
      <c r="AL105" s="2">
        <v>470.47</v>
      </c>
      <c r="AM105" s="2">
        <v>0</v>
      </c>
      <c r="AN105" s="2">
        <v>0</v>
      </c>
      <c r="AO105" s="2">
        <v>0</v>
      </c>
      <c r="AP105" s="2">
        <v>0</v>
      </c>
      <c r="AQ105" s="2">
        <v>0</v>
      </c>
      <c r="AR105" s="2">
        <v>0</v>
      </c>
      <c r="AS105" s="2">
        <v>0</v>
      </c>
      <c r="AT105" s="2">
        <v>134</v>
      </c>
      <c r="AU105" s="2">
        <v>83</v>
      </c>
      <c r="AV105" s="2">
        <v>1</v>
      </c>
      <c r="AW105" s="2">
        <v>1</v>
      </c>
      <c r="AX105" s="2"/>
      <c r="AY105" s="2"/>
      <c r="AZ105" s="2">
        <v>1</v>
      </c>
      <c r="BA105" s="2">
        <v>1</v>
      </c>
      <c r="BB105" s="2">
        <v>1</v>
      </c>
      <c r="BC105" s="2">
        <v>1</v>
      </c>
      <c r="BD105" s="2" t="s">
        <v>3</v>
      </c>
      <c r="BE105" s="2" t="s">
        <v>3</v>
      </c>
      <c r="BF105" s="2" t="s">
        <v>3</v>
      </c>
      <c r="BG105" s="2" t="s">
        <v>3</v>
      </c>
      <c r="BH105" s="2">
        <v>3</v>
      </c>
      <c r="BI105" s="2">
        <v>1</v>
      </c>
      <c r="BJ105" s="2" t="s">
        <v>179</v>
      </c>
      <c r="BK105" s="2"/>
      <c r="BL105" s="2"/>
      <c r="BM105" s="2">
        <v>161</v>
      </c>
      <c r="BN105" s="2">
        <v>0</v>
      </c>
      <c r="BO105" s="2" t="s">
        <v>3</v>
      </c>
      <c r="BP105" s="2">
        <v>0</v>
      </c>
      <c r="BQ105" s="2">
        <v>30</v>
      </c>
      <c r="BR105" s="2">
        <v>0</v>
      </c>
      <c r="BS105" s="2">
        <v>1</v>
      </c>
      <c r="BT105" s="2">
        <v>1</v>
      </c>
      <c r="BU105" s="2">
        <v>1</v>
      </c>
      <c r="BV105" s="2">
        <v>1</v>
      </c>
      <c r="BW105" s="2">
        <v>1</v>
      </c>
      <c r="BX105" s="2">
        <v>1</v>
      </c>
      <c r="BY105" s="2" t="s">
        <v>3</v>
      </c>
      <c r="BZ105" s="2">
        <v>134</v>
      </c>
      <c r="CA105" s="2">
        <v>83</v>
      </c>
      <c r="CB105" s="2"/>
      <c r="CC105" s="2"/>
      <c r="CD105" s="2"/>
      <c r="CE105" s="2">
        <v>30</v>
      </c>
      <c r="CF105" s="2">
        <v>0</v>
      </c>
      <c r="CG105" s="2">
        <v>0</v>
      </c>
      <c r="CH105" s="2"/>
      <c r="CI105" s="2"/>
      <c r="CJ105" s="2"/>
      <c r="CK105" s="2"/>
      <c r="CL105" s="2"/>
      <c r="CM105" s="2">
        <v>0</v>
      </c>
      <c r="CN105" s="2" t="s">
        <v>3</v>
      </c>
      <c r="CO105" s="2">
        <v>0</v>
      </c>
      <c r="CP105" s="2">
        <f t="shared" si="94"/>
        <v>959.76</v>
      </c>
      <c r="CQ105" s="2">
        <f t="shared" si="95"/>
        <v>470.47</v>
      </c>
      <c r="CR105" s="2">
        <f t="shared" si="96"/>
        <v>0</v>
      </c>
      <c r="CS105" s="2">
        <f t="shared" si="97"/>
        <v>0</v>
      </c>
      <c r="CT105" s="2">
        <f t="shared" si="98"/>
        <v>0</v>
      </c>
      <c r="CU105" s="2">
        <f t="shared" si="99"/>
        <v>0</v>
      </c>
      <c r="CV105" s="2">
        <f t="shared" si="100"/>
        <v>0</v>
      </c>
      <c r="CW105" s="2">
        <f t="shared" si="101"/>
        <v>0</v>
      </c>
      <c r="CX105" s="2">
        <f t="shared" si="102"/>
        <v>0</v>
      </c>
      <c r="CY105" s="2">
        <f>((S105*BZ105)/100)</f>
        <v>0</v>
      </c>
      <c r="CZ105" s="2">
        <f>((S105*CA105)/100)</f>
        <v>0</v>
      </c>
      <c r="DA105" s="2"/>
      <c r="DB105" s="2"/>
      <c r="DC105" s="2" t="s">
        <v>3</v>
      </c>
      <c r="DD105" s="2" t="s">
        <v>3</v>
      </c>
      <c r="DE105" s="2" t="s">
        <v>3</v>
      </c>
      <c r="DF105" s="2" t="s">
        <v>3</v>
      </c>
      <c r="DG105" s="2" t="s">
        <v>3</v>
      </c>
      <c r="DH105" s="2" t="s">
        <v>3</v>
      </c>
      <c r="DI105" s="2" t="s">
        <v>3</v>
      </c>
      <c r="DJ105" s="2" t="s">
        <v>3</v>
      </c>
      <c r="DK105" s="2" t="s">
        <v>3</v>
      </c>
      <c r="DL105" s="2" t="s">
        <v>3</v>
      </c>
      <c r="DM105" s="2" t="s">
        <v>3</v>
      </c>
      <c r="DN105" s="2">
        <v>0</v>
      </c>
      <c r="DO105" s="2">
        <v>0</v>
      </c>
      <c r="DP105" s="2">
        <v>1</v>
      </c>
      <c r="DQ105" s="2">
        <v>1</v>
      </c>
      <c r="DR105" s="2"/>
      <c r="DS105" s="2"/>
      <c r="DT105" s="2"/>
      <c r="DU105" s="2">
        <v>1009</v>
      </c>
      <c r="DV105" s="2" t="s">
        <v>44</v>
      </c>
      <c r="DW105" s="2" t="s">
        <v>44</v>
      </c>
      <c r="DX105" s="2">
        <v>1000</v>
      </c>
      <c r="DY105" s="2"/>
      <c r="DZ105" s="2"/>
      <c r="EA105" s="2"/>
      <c r="EB105" s="2"/>
      <c r="EC105" s="2"/>
      <c r="ED105" s="2"/>
      <c r="EE105" s="2">
        <v>45706621</v>
      </c>
      <c r="EF105" s="2">
        <v>30</v>
      </c>
      <c r="EG105" s="2" t="s">
        <v>58</v>
      </c>
      <c r="EH105" s="2">
        <v>0</v>
      </c>
      <c r="EI105" s="2" t="s">
        <v>3</v>
      </c>
      <c r="EJ105" s="2">
        <v>1</v>
      </c>
      <c r="EK105" s="2">
        <v>161</v>
      </c>
      <c r="EL105" s="2" t="s">
        <v>169</v>
      </c>
      <c r="EM105" s="2" t="s">
        <v>170</v>
      </c>
      <c r="EN105" s="2"/>
      <c r="EO105" s="2" t="s">
        <v>3</v>
      </c>
      <c r="EP105" s="2"/>
      <c r="EQ105" s="2">
        <v>0</v>
      </c>
      <c r="ER105" s="2">
        <v>470.47</v>
      </c>
      <c r="ES105" s="2">
        <v>470.47</v>
      </c>
      <c r="ET105" s="2">
        <v>0</v>
      </c>
      <c r="EU105" s="2">
        <v>0</v>
      </c>
      <c r="EV105" s="2">
        <v>0</v>
      </c>
      <c r="EW105" s="2">
        <v>0</v>
      </c>
      <c r="EX105" s="2">
        <v>0</v>
      </c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>
        <v>0</v>
      </c>
      <c r="FR105" s="2">
        <f t="shared" si="103"/>
        <v>0</v>
      </c>
      <c r="FS105" s="2">
        <v>0</v>
      </c>
      <c r="FT105" s="2"/>
      <c r="FU105" s="2"/>
      <c r="FV105" s="2"/>
      <c r="FW105" s="2"/>
      <c r="FX105" s="2">
        <v>134</v>
      </c>
      <c r="FY105" s="2">
        <v>83</v>
      </c>
      <c r="FZ105" s="2"/>
      <c r="GA105" s="2" t="s">
        <v>3</v>
      </c>
      <c r="GB105" s="2"/>
      <c r="GC105" s="2"/>
      <c r="GD105" s="2">
        <v>0</v>
      </c>
      <c r="GE105" s="2"/>
      <c r="GF105" s="2">
        <v>-568000054</v>
      </c>
      <c r="GG105" s="2">
        <v>2</v>
      </c>
      <c r="GH105" s="2">
        <v>1</v>
      </c>
      <c r="GI105" s="2">
        <v>-2</v>
      </c>
      <c r="GJ105" s="2">
        <v>0</v>
      </c>
      <c r="GK105" s="2">
        <f>ROUND(R105*(R12)/100,2)</f>
        <v>0</v>
      </c>
      <c r="GL105" s="2">
        <f t="shared" si="104"/>
        <v>0</v>
      </c>
      <c r="GM105" s="2">
        <f t="shared" si="112"/>
        <v>959.76</v>
      </c>
      <c r="GN105" s="2">
        <f t="shared" si="113"/>
        <v>959.76</v>
      </c>
      <c r="GO105" s="2">
        <f t="shared" si="114"/>
        <v>0</v>
      </c>
      <c r="GP105" s="2">
        <f t="shared" si="115"/>
        <v>0</v>
      </c>
      <c r="GQ105" s="2"/>
      <c r="GR105" s="2">
        <v>0</v>
      </c>
      <c r="GS105" s="2">
        <v>3</v>
      </c>
      <c r="GT105" s="2">
        <v>0</v>
      </c>
      <c r="GU105" s="2" t="s">
        <v>3</v>
      </c>
      <c r="GV105" s="2">
        <f t="shared" si="109"/>
        <v>0</v>
      </c>
      <c r="GW105" s="2">
        <v>1</v>
      </c>
      <c r="GX105" s="2">
        <f t="shared" si="110"/>
        <v>0</v>
      </c>
      <c r="GY105" s="2"/>
      <c r="GZ105" s="2"/>
      <c r="HA105" s="2">
        <v>0</v>
      </c>
      <c r="HB105" s="2">
        <v>0</v>
      </c>
      <c r="HC105" s="2">
        <f t="shared" si="111"/>
        <v>0</v>
      </c>
      <c r="HD105" s="2"/>
      <c r="HE105" s="2" t="s">
        <v>3</v>
      </c>
      <c r="HF105" s="2" t="s">
        <v>3</v>
      </c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>
        <v>0</v>
      </c>
      <c r="IL105" s="2"/>
      <c r="IM105" s="2"/>
      <c r="IN105" s="2"/>
      <c r="IO105" s="2"/>
      <c r="IP105" s="2"/>
      <c r="IQ105" s="2"/>
      <c r="IR105" s="2"/>
      <c r="IS105" s="2"/>
      <c r="IT105" s="2"/>
      <c r="IU105" s="2"/>
    </row>
    <row r="106" spans="1:255" x14ac:dyDescent="0.2">
      <c r="A106">
        <v>18</v>
      </c>
      <c r="B106">
        <v>1</v>
      </c>
      <c r="C106">
        <v>83</v>
      </c>
      <c r="E106" t="s">
        <v>176</v>
      </c>
      <c r="F106" t="s">
        <v>177</v>
      </c>
      <c r="G106" t="s">
        <v>178</v>
      </c>
      <c r="H106" t="s">
        <v>44</v>
      </c>
      <c r="I106">
        <f>I102*J106</f>
        <v>2.04</v>
      </c>
      <c r="J106">
        <v>10</v>
      </c>
      <c r="O106">
        <f t="shared" si="74"/>
        <v>7601.3</v>
      </c>
      <c r="P106">
        <f t="shared" si="75"/>
        <v>7601.3</v>
      </c>
      <c r="Q106">
        <f t="shared" si="76"/>
        <v>0</v>
      </c>
      <c r="R106">
        <f t="shared" si="77"/>
        <v>0</v>
      </c>
      <c r="S106">
        <f t="shared" si="78"/>
        <v>0</v>
      </c>
      <c r="T106">
        <f t="shared" si="79"/>
        <v>0</v>
      </c>
      <c r="U106">
        <f t="shared" si="80"/>
        <v>0</v>
      </c>
      <c r="V106">
        <f t="shared" si="81"/>
        <v>0</v>
      </c>
      <c r="W106">
        <f t="shared" si="82"/>
        <v>0</v>
      </c>
      <c r="X106">
        <f t="shared" si="83"/>
        <v>0</v>
      </c>
      <c r="Y106">
        <f t="shared" si="84"/>
        <v>0</v>
      </c>
      <c r="AA106">
        <v>45747932</v>
      </c>
      <c r="AB106">
        <f t="shared" si="85"/>
        <v>470.47</v>
      </c>
      <c r="AC106">
        <f t="shared" si="116"/>
        <v>470.47</v>
      </c>
      <c r="AD106">
        <f t="shared" si="87"/>
        <v>0</v>
      </c>
      <c r="AE106">
        <f t="shared" si="88"/>
        <v>0</v>
      </c>
      <c r="AF106">
        <f t="shared" si="89"/>
        <v>0</v>
      </c>
      <c r="AG106">
        <f t="shared" si="90"/>
        <v>0</v>
      </c>
      <c r="AH106">
        <f t="shared" si="91"/>
        <v>0</v>
      </c>
      <c r="AI106">
        <f t="shared" si="92"/>
        <v>0</v>
      </c>
      <c r="AJ106">
        <f t="shared" si="93"/>
        <v>0</v>
      </c>
      <c r="AK106">
        <v>470.47</v>
      </c>
      <c r="AL106">
        <v>470.47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  <c r="AS106">
        <v>0</v>
      </c>
      <c r="AT106">
        <v>0</v>
      </c>
      <c r="AU106">
        <v>0</v>
      </c>
      <c r="AV106">
        <v>1</v>
      </c>
      <c r="AW106">
        <v>1</v>
      </c>
      <c r="AZ106">
        <v>1</v>
      </c>
      <c r="BA106">
        <v>1</v>
      </c>
      <c r="BB106">
        <v>1</v>
      </c>
      <c r="BC106">
        <v>7.92</v>
      </c>
      <c r="BD106" t="s">
        <v>3</v>
      </c>
      <c r="BE106" t="s">
        <v>3</v>
      </c>
      <c r="BF106" t="s">
        <v>3</v>
      </c>
      <c r="BG106" t="s">
        <v>3</v>
      </c>
      <c r="BH106">
        <v>3</v>
      </c>
      <c r="BI106">
        <v>1</v>
      </c>
      <c r="BJ106" t="s">
        <v>179</v>
      </c>
      <c r="BM106">
        <v>161</v>
      </c>
      <c r="BN106">
        <v>0</v>
      </c>
      <c r="BO106" t="s">
        <v>177</v>
      </c>
      <c r="BP106">
        <v>1</v>
      </c>
      <c r="BQ106">
        <v>30</v>
      </c>
      <c r="BR106">
        <v>0</v>
      </c>
      <c r="BS106">
        <v>1</v>
      </c>
      <c r="BT106">
        <v>1</v>
      </c>
      <c r="BU106">
        <v>1</v>
      </c>
      <c r="BV106">
        <v>1</v>
      </c>
      <c r="BW106">
        <v>1</v>
      </c>
      <c r="BX106">
        <v>1</v>
      </c>
      <c r="BY106" t="s">
        <v>3</v>
      </c>
      <c r="BZ106">
        <v>0</v>
      </c>
      <c r="CA106">
        <v>0</v>
      </c>
      <c r="CE106">
        <v>30</v>
      </c>
      <c r="CF106">
        <v>0</v>
      </c>
      <c r="CG106">
        <v>0</v>
      </c>
      <c r="CM106">
        <v>0</v>
      </c>
      <c r="CN106" t="s">
        <v>3</v>
      </c>
      <c r="CO106">
        <v>0</v>
      </c>
      <c r="CP106">
        <f t="shared" si="94"/>
        <v>7601.3</v>
      </c>
      <c r="CQ106">
        <f t="shared" si="95"/>
        <v>3726.12</v>
      </c>
      <c r="CR106">
        <f t="shared" si="96"/>
        <v>0</v>
      </c>
      <c r="CS106">
        <f t="shared" si="97"/>
        <v>0</v>
      </c>
      <c r="CT106">
        <f t="shared" si="98"/>
        <v>0</v>
      </c>
      <c r="CU106">
        <f t="shared" si="99"/>
        <v>0</v>
      </c>
      <c r="CV106">
        <f t="shared" si="100"/>
        <v>0</v>
      </c>
      <c r="CW106">
        <f t="shared" si="101"/>
        <v>0</v>
      </c>
      <c r="CX106">
        <f t="shared" si="102"/>
        <v>0</v>
      </c>
      <c r="CY106">
        <f>S106*(BZ106/100)</f>
        <v>0</v>
      </c>
      <c r="CZ106">
        <f>S106*(CA106/100)</f>
        <v>0</v>
      </c>
      <c r="DC106" t="s">
        <v>3</v>
      </c>
      <c r="DD106" t="s">
        <v>3</v>
      </c>
      <c r="DE106" t="s">
        <v>3</v>
      </c>
      <c r="DF106" t="s">
        <v>3</v>
      </c>
      <c r="DG106" t="s">
        <v>3</v>
      </c>
      <c r="DH106" t="s">
        <v>3</v>
      </c>
      <c r="DI106" t="s">
        <v>3</v>
      </c>
      <c r="DJ106" t="s">
        <v>3</v>
      </c>
      <c r="DK106" t="s">
        <v>3</v>
      </c>
      <c r="DL106" t="s">
        <v>3</v>
      </c>
      <c r="DM106" t="s">
        <v>3</v>
      </c>
      <c r="DN106">
        <v>134</v>
      </c>
      <c r="DO106">
        <v>83</v>
      </c>
      <c r="DP106">
        <v>1</v>
      </c>
      <c r="DQ106">
        <v>1</v>
      </c>
      <c r="DU106">
        <v>1009</v>
      </c>
      <c r="DV106" t="s">
        <v>44</v>
      </c>
      <c r="DW106" t="s">
        <v>44</v>
      </c>
      <c r="DX106">
        <v>1000</v>
      </c>
      <c r="EE106">
        <v>45706621</v>
      </c>
      <c r="EF106">
        <v>30</v>
      </c>
      <c r="EG106" t="s">
        <v>58</v>
      </c>
      <c r="EH106">
        <v>0</v>
      </c>
      <c r="EI106" t="s">
        <v>3</v>
      </c>
      <c r="EJ106">
        <v>1</v>
      </c>
      <c r="EK106">
        <v>161</v>
      </c>
      <c r="EL106" t="s">
        <v>169</v>
      </c>
      <c r="EM106" t="s">
        <v>170</v>
      </c>
      <c r="EO106" t="s">
        <v>3</v>
      </c>
      <c r="EQ106">
        <v>0</v>
      </c>
      <c r="ER106">
        <v>470.47</v>
      </c>
      <c r="ES106">
        <v>470.47</v>
      </c>
      <c r="ET106">
        <v>0</v>
      </c>
      <c r="EU106">
        <v>0</v>
      </c>
      <c r="EV106">
        <v>0</v>
      </c>
      <c r="EW106">
        <v>0</v>
      </c>
      <c r="EX106">
        <v>0</v>
      </c>
      <c r="FQ106">
        <v>0</v>
      </c>
      <c r="FR106">
        <f t="shared" si="103"/>
        <v>0</v>
      </c>
      <c r="FS106">
        <v>0</v>
      </c>
      <c r="FX106">
        <v>134</v>
      </c>
      <c r="FY106">
        <v>83</v>
      </c>
      <c r="GA106" t="s">
        <v>3</v>
      </c>
      <c r="GD106">
        <v>0</v>
      </c>
      <c r="GF106">
        <v>-568000054</v>
      </c>
      <c r="GG106">
        <v>2</v>
      </c>
      <c r="GH106">
        <v>1</v>
      </c>
      <c r="GI106">
        <v>2</v>
      </c>
      <c r="GJ106">
        <v>0</v>
      </c>
      <c r="GK106">
        <f>ROUND(R106*(S12)/100,2)</f>
        <v>0</v>
      </c>
      <c r="GL106">
        <f t="shared" si="104"/>
        <v>0</v>
      </c>
      <c r="GM106">
        <f t="shared" si="112"/>
        <v>7601.3</v>
      </c>
      <c r="GN106">
        <f t="shared" si="113"/>
        <v>7601.3</v>
      </c>
      <c r="GO106">
        <f t="shared" si="114"/>
        <v>0</v>
      </c>
      <c r="GP106">
        <f t="shared" si="115"/>
        <v>0</v>
      </c>
      <c r="GR106">
        <v>0</v>
      </c>
      <c r="GS106">
        <v>3</v>
      </c>
      <c r="GT106">
        <v>0</v>
      </c>
      <c r="GU106" t="s">
        <v>3</v>
      </c>
      <c r="GV106">
        <f t="shared" si="109"/>
        <v>0</v>
      </c>
      <c r="GW106">
        <v>1</v>
      </c>
      <c r="GX106">
        <f t="shared" si="110"/>
        <v>0</v>
      </c>
      <c r="HA106">
        <v>0</v>
      </c>
      <c r="HB106">
        <v>0</v>
      </c>
      <c r="HC106">
        <f t="shared" si="111"/>
        <v>0</v>
      </c>
      <c r="HE106" t="s">
        <v>3</v>
      </c>
      <c r="HF106" t="s">
        <v>3</v>
      </c>
      <c r="IK106">
        <v>0</v>
      </c>
    </row>
    <row r="107" spans="1:255" x14ac:dyDescent="0.2">
      <c r="A107" s="2">
        <v>17</v>
      </c>
      <c r="B107" s="2">
        <v>1</v>
      </c>
      <c r="C107" s="2">
        <f>ROW(SmtRes!A89)</f>
        <v>89</v>
      </c>
      <c r="D107" s="2">
        <f>ROW(EtalonRes!A89)</f>
        <v>89</v>
      </c>
      <c r="E107" s="2" t="s">
        <v>180</v>
      </c>
      <c r="F107" s="2" t="s">
        <v>181</v>
      </c>
      <c r="G107" s="2" t="s">
        <v>182</v>
      </c>
      <c r="H107" s="2" t="s">
        <v>131</v>
      </c>
      <c r="I107" s="2">
        <f>ROUND((I101)*0.06,9)</f>
        <v>1.2239999999999999E-2</v>
      </c>
      <c r="J107" s="2">
        <v>0</v>
      </c>
      <c r="K107" s="2"/>
      <c r="L107" s="2"/>
      <c r="M107" s="2"/>
      <c r="N107" s="2"/>
      <c r="O107" s="2">
        <f t="shared" si="74"/>
        <v>15.62</v>
      </c>
      <c r="P107" s="2">
        <f t="shared" si="75"/>
        <v>0.25</v>
      </c>
      <c r="Q107" s="2">
        <f t="shared" si="76"/>
        <v>9.82</v>
      </c>
      <c r="R107" s="2">
        <f t="shared" si="77"/>
        <v>4.59</v>
      </c>
      <c r="S107" s="2">
        <f t="shared" si="78"/>
        <v>5.55</v>
      </c>
      <c r="T107" s="2">
        <f t="shared" si="79"/>
        <v>0</v>
      </c>
      <c r="U107" s="2">
        <f t="shared" si="80"/>
        <v>0.40269599999999994</v>
      </c>
      <c r="V107" s="2">
        <f t="shared" si="81"/>
        <v>0</v>
      </c>
      <c r="W107" s="2">
        <f t="shared" si="82"/>
        <v>0</v>
      </c>
      <c r="X107" s="2">
        <f t="shared" si="83"/>
        <v>7.44</v>
      </c>
      <c r="Y107" s="2">
        <f t="shared" si="84"/>
        <v>4.6100000000000003</v>
      </c>
      <c r="Z107" s="2"/>
      <c r="AA107" s="2">
        <v>45748053</v>
      </c>
      <c r="AB107" s="2">
        <f t="shared" si="85"/>
        <v>1275.77</v>
      </c>
      <c r="AC107" s="2">
        <f t="shared" si="116"/>
        <v>20.12</v>
      </c>
      <c r="AD107" s="2">
        <f t="shared" si="87"/>
        <v>802.62</v>
      </c>
      <c r="AE107" s="2">
        <f t="shared" si="88"/>
        <v>375.23</v>
      </c>
      <c r="AF107" s="2">
        <f t="shared" si="89"/>
        <v>453.03</v>
      </c>
      <c r="AG107" s="2">
        <f t="shared" si="90"/>
        <v>0</v>
      </c>
      <c r="AH107" s="2">
        <f t="shared" si="91"/>
        <v>32.9</v>
      </c>
      <c r="AI107" s="2">
        <f t="shared" si="92"/>
        <v>0</v>
      </c>
      <c r="AJ107" s="2">
        <f t="shared" si="93"/>
        <v>0</v>
      </c>
      <c r="AK107" s="2">
        <v>1275.77</v>
      </c>
      <c r="AL107" s="2">
        <v>20.12</v>
      </c>
      <c r="AM107" s="2">
        <v>802.62</v>
      </c>
      <c r="AN107" s="2">
        <v>375.23</v>
      </c>
      <c r="AO107" s="2">
        <v>453.03</v>
      </c>
      <c r="AP107" s="2">
        <v>0</v>
      </c>
      <c r="AQ107" s="2">
        <v>32.9</v>
      </c>
      <c r="AR107" s="2">
        <v>0</v>
      </c>
      <c r="AS107" s="2">
        <v>0</v>
      </c>
      <c r="AT107" s="2">
        <v>134</v>
      </c>
      <c r="AU107" s="2">
        <v>83</v>
      </c>
      <c r="AV107" s="2">
        <v>1</v>
      </c>
      <c r="AW107" s="2">
        <v>1</v>
      </c>
      <c r="AX107" s="2"/>
      <c r="AY107" s="2"/>
      <c r="AZ107" s="2">
        <v>1</v>
      </c>
      <c r="BA107" s="2">
        <v>1</v>
      </c>
      <c r="BB107" s="2">
        <v>1</v>
      </c>
      <c r="BC107" s="2">
        <v>1</v>
      </c>
      <c r="BD107" s="2" t="s">
        <v>3</v>
      </c>
      <c r="BE107" s="2" t="s">
        <v>3</v>
      </c>
      <c r="BF107" s="2" t="s">
        <v>3</v>
      </c>
      <c r="BG107" s="2" t="s">
        <v>3</v>
      </c>
      <c r="BH107" s="2">
        <v>0</v>
      </c>
      <c r="BI107" s="2">
        <v>1</v>
      </c>
      <c r="BJ107" s="2" t="s">
        <v>183</v>
      </c>
      <c r="BK107" s="2"/>
      <c r="BL107" s="2"/>
      <c r="BM107" s="2">
        <v>161</v>
      </c>
      <c r="BN107" s="2">
        <v>0</v>
      </c>
      <c r="BO107" s="2" t="s">
        <v>3</v>
      </c>
      <c r="BP107" s="2">
        <v>0</v>
      </c>
      <c r="BQ107" s="2">
        <v>30</v>
      </c>
      <c r="BR107" s="2">
        <v>0</v>
      </c>
      <c r="BS107" s="2">
        <v>1</v>
      </c>
      <c r="BT107" s="2">
        <v>1</v>
      </c>
      <c r="BU107" s="2">
        <v>1</v>
      </c>
      <c r="BV107" s="2">
        <v>1</v>
      </c>
      <c r="BW107" s="2">
        <v>1</v>
      </c>
      <c r="BX107" s="2">
        <v>1</v>
      </c>
      <c r="BY107" s="2" t="s">
        <v>3</v>
      </c>
      <c r="BZ107" s="2">
        <v>134</v>
      </c>
      <c r="CA107" s="2">
        <v>83</v>
      </c>
      <c r="CB107" s="2"/>
      <c r="CC107" s="2"/>
      <c r="CD107" s="2"/>
      <c r="CE107" s="2">
        <v>30</v>
      </c>
      <c r="CF107" s="2">
        <v>0</v>
      </c>
      <c r="CG107" s="2">
        <v>0</v>
      </c>
      <c r="CH107" s="2"/>
      <c r="CI107" s="2"/>
      <c r="CJ107" s="2"/>
      <c r="CK107" s="2"/>
      <c r="CL107" s="2"/>
      <c r="CM107" s="2">
        <v>0</v>
      </c>
      <c r="CN107" s="2" t="s">
        <v>3</v>
      </c>
      <c r="CO107" s="2">
        <v>0</v>
      </c>
      <c r="CP107" s="2">
        <f t="shared" si="94"/>
        <v>15.620000000000001</v>
      </c>
      <c r="CQ107" s="2">
        <f t="shared" si="95"/>
        <v>20.12</v>
      </c>
      <c r="CR107" s="2">
        <f t="shared" si="96"/>
        <v>802.62</v>
      </c>
      <c r="CS107" s="2">
        <f t="shared" si="97"/>
        <v>375.23</v>
      </c>
      <c r="CT107" s="2">
        <f t="shared" si="98"/>
        <v>453.03</v>
      </c>
      <c r="CU107" s="2">
        <f t="shared" si="99"/>
        <v>0</v>
      </c>
      <c r="CV107" s="2">
        <f t="shared" si="100"/>
        <v>32.9</v>
      </c>
      <c r="CW107" s="2">
        <f t="shared" si="101"/>
        <v>0</v>
      </c>
      <c r="CX107" s="2">
        <f t="shared" si="102"/>
        <v>0</v>
      </c>
      <c r="CY107" s="2">
        <f>((S107*BZ107)/100)</f>
        <v>7.4369999999999994</v>
      </c>
      <c r="CZ107" s="2">
        <f>((S107*CA107)/100)</f>
        <v>4.6064999999999996</v>
      </c>
      <c r="DA107" s="2"/>
      <c r="DB107" s="2"/>
      <c r="DC107" s="2" t="s">
        <v>3</v>
      </c>
      <c r="DD107" s="2" t="s">
        <v>3</v>
      </c>
      <c r="DE107" s="2" t="s">
        <v>3</v>
      </c>
      <c r="DF107" s="2" t="s">
        <v>3</v>
      </c>
      <c r="DG107" s="2" t="s">
        <v>3</v>
      </c>
      <c r="DH107" s="2" t="s">
        <v>3</v>
      </c>
      <c r="DI107" s="2" t="s">
        <v>3</v>
      </c>
      <c r="DJ107" s="2" t="s">
        <v>3</v>
      </c>
      <c r="DK107" s="2" t="s">
        <v>3</v>
      </c>
      <c r="DL107" s="2" t="s">
        <v>3</v>
      </c>
      <c r="DM107" s="2" t="s">
        <v>3</v>
      </c>
      <c r="DN107" s="2">
        <v>0</v>
      </c>
      <c r="DO107" s="2">
        <v>0</v>
      </c>
      <c r="DP107" s="2">
        <v>1</v>
      </c>
      <c r="DQ107" s="2">
        <v>1</v>
      </c>
      <c r="DR107" s="2"/>
      <c r="DS107" s="2"/>
      <c r="DT107" s="2"/>
      <c r="DU107" s="2">
        <v>1003</v>
      </c>
      <c r="DV107" s="2" t="s">
        <v>131</v>
      </c>
      <c r="DW107" s="2" t="s">
        <v>131</v>
      </c>
      <c r="DX107" s="2">
        <v>100</v>
      </c>
      <c r="DY107" s="2"/>
      <c r="DZ107" s="2"/>
      <c r="EA107" s="2"/>
      <c r="EB107" s="2"/>
      <c r="EC107" s="2"/>
      <c r="ED107" s="2"/>
      <c r="EE107" s="2">
        <v>45706621</v>
      </c>
      <c r="EF107" s="2">
        <v>30</v>
      </c>
      <c r="EG107" s="2" t="s">
        <v>58</v>
      </c>
      <c r="EH107" s="2">
        <v>0</v>
      </c>
      <c r="EI107" s="2" t="s">
        <v>3</v>
      </c>
      <c r="EJ107" s="2">
        <v>1</v>
      </c>
      <c r="EK107" s="2">
        <v>161</v>
      </c>
      <c r="EL107" s="2" t="s">
        <v>169</v>
      </c>
      <c r="EM107" s="2" t="s">
        <v>170</v>
      </c>
      <c r="EN107" s="2"/>
      <c r="EO107" s="2" t="s">
        <v>3</v>
      </c>
      <c r="EP107" s="2"/>
      <c r="EQ107" s="2">
        <v>0</v>
      </c>
      <c r="ER107" s="2">
        <v>1275.77</v>
      </c>
      <c r="ES107" s="2">
        <v>20.12</v>
      </c>
      <c r="ET107" s="2">
        <v>802.62</v>
      </c>
      <c r="EU107" s="2">
        <v>375.23</v>
      </c>
      <c r="EV107" s="2">
        <v>453.03</v>
      </c>
      <c r="EW107" s="2">
        <v>32.9</v>
      </c>
      <c r="EX107" s="2">
        <v>0</v>
      </c>
      <c r="EY107" s="2">
        <v>0</v>
      </c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>
        <v>0</v>
      </c>
      <c r="FR107" s="2">
        <f t="shared" si="103"/>
        <v>0</v>
      </c>
      <c r="FS107" s="2">
        <v>0</v>
      </c>
      <c r="FT107" s="2"/>
      <c r="FU107" s="2"/>
      <c r="FV107" s="2"/>
      <c r="FW107" s="2"/>
      <c r="FX107" s="2">
        <v>134</v>
      </c>
      <c r="FY107" s="2">
        <v>83</v>
      </c>
      <c r="FZ107" s="2"/>
      <c r="GA107" s="2" t="s">
        <v>3</v>
      </c>
      <c r="GB107" s="2"/>
      <c r="GC107" s="2"/>
      <c r="GD107" s="2">
        <v>0</v>
      </c>
      <c r="GE107" s="2"/>
      <c r="GF107" s="2">
        <v>673677305</v>
      </c>
      <c r="GG107" s="2">
        <v>2</v>
      </c>
      <c r="GH107" s="2">
        <v>1</v>
      </c>
      <c r="GI107" s="2">
        <v>-2</v>
      </c>
      <c r="GJ107" s="2">
        <v>0</v>
      </c>
      <c r="GK107" s="2">
        <f>ROUND(R107*(R12)/100,2)</f>
        <v>8.0299999999999994</v>
      </c>
      <c r="GL107" s="2">
        <f t="shared" si="104"/>
        <v>0</v>
      </c>
      <c r="GM107" s="2">
        <f t="shared" si="112"/>
        <v>35.700000000000003</v>
      </c>
      <c r="GN107" s="2">
        <f t="shared" si="113"/>
        <v>35.700000000000003</v>
      </c>
      <c r="GO107" s="2">
        <f t="shared" si="114"/>
        <v>0</v>
      </c>
      <c r="GP107" s="2">
        <f t="shared" si="115"/>
        <v>0</v>
      </c>
      <c r="GQ107" s="2"/>
      <c r="GR107" s="2">
        <v>0</v>
      </c>
      <c r="GS107" s="2">
        <v>3</v>
      </c>
      <c r="GT107" s="2">
        <v>0</v>
      </c>
      <c r="GU107" s="2" t="s">
        <v>3</v>
      </c>
      <c r="GV107" s="2">
        <f t="shared" si="109"/>
        <v>0</v>
      </c>
      <c r="GW107" s="2">
        <v>1</v>
      </c>
      <c r="GX107" s="2">
        <f t="shared" si="110"/>
        <v>0</v>
      </c>
      <c r="GY107" s="2"/>
      <c r="GZ107" s="2"/>
      <c r="HA107" s="2">
        <v>0</v>
      </c>
      <c r="HB107" s="2">
        <v>0</v>
      </c>
      <c r="HC107" s="2">
        <f t="shared" si="111"/>
        <v>0</v>
      </c>
      <c r="HD107" s="2"/>
      <c r="HE107" s="2" t="s">
        <v>3</v>
      </c>
      <c r="HF107" s="2" t="s">
        <v>3</v>
      </c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>
        <v>0</v>
      </c>
      <c r="IL107" s="2"/>
      <c r="IM107" s="2"/>
      <c r="IN107" s="2"/>
      <c r="IO107" s="2"/>
      <c r="IP107" s="2"/>
      <c r="IQ107" s="2"/>
      <c r="IR107" s="2"/>
      <c r="IS107" s="2"/>
      <c r="IT107" s="2"/>
      <c r="IU107" s="2"/>
    </row>
    <row r="108" spans="1:255" x14ac:dyDescent="0.2">
      <c r="A108">
        <v>17</v>
      </c>
      <c r="B108">
        <v>1</v>
      </c>
      <c r="C108">
        <f>ROW(SmtRes!A94)</f>
        <v>94</v>
      </c>
      <c r="D108">
        <f>ROW(EtalonRes!A94)</f>
        <v>94</v>
      </c>
      <c r="E108" t="s">
        <v>180</v>
      </c>
      <c r="F108" t="s">
        <v>181</v>
      </c>
      <c r="G108" t="s">
        <v>182</v>
      </c>
      <c r="H108" t="s">
        <v>131</v>
      </c>
      <c r="I108">
        <f>ROUND((I102)*0.06,9)</f>
        <v>1.2239999999999999E-2</v>
      </c>
      <c r="J108">
        <v>0</v>
      </c>
      <c r="O108">
        <f t="shared" si="74"/>
        <v>296.8</v>
      </c>
      <c r="P108">
        <f t="shared" si="75"/>
        <v>1.49</v>
      </c>
      <c r="Q108">
        <f t="shared" si="76"/>
        <v>155.84</v>
      </c>
      <c r="R108">
        <f t="shared" si="77"/>
        <v>115.35</v>
      </c>
      <c r="S108">
        <f t="shared" si="78"/>
        <v>139.47</v>
      </c>
      <c r="T108">
        <f t="shared" si="79"/>
        <v>0</v>
      </c>
      <c r="U108">
        <f t="shared" si="80"/>
        <v>0.40269599999999994</v>
      </c>
      <c r="V108">
        <f t="shared" si="81"/>
        <v>0</v>
      </c>
      <c r="W108">
        <f t="shared" si="82"/>
        <v>0</v>
      </c>
      <c r="X108">
        <f t="shared" si="83"/>
        <v>147.84</v>
      </c>
      <c r="Y108">
        <f t="shared" si="84"/>
        <v>57.18</v>
      </c>
      <c r="AA108">
        <v>45747932</v>
      </c>
      <c r="AB108">
        <f t="shared" si="85"/>
        <v>1275.77</v>
      </c>
      <c r="AC108">
        <f t="shared" si="116"/>
        <v>20.12</v>
      </c>
      <c r="AD108">
        <f t="shared" si="87"/>
        <v>802.62</v>
      </c>
      <c r="AE108">
        <f t="shared" si="88"/>
        <v>375.23</v>
      </c>
      <c r="AF108">
        <f t="shared" si="89"/>
        <v>453.03</v>
      </c>
      <c r="AG108">
        <f t="shared" si="90"/>
        <v>0</v>
      </c>
      <c r="AH108">
        <f t="shared" si="91"/>
        <v>32.9</v>
      </c>
      <c r="AI108">
        <f t="shared" si="92"/>
        <v>0</v>
      </c>
      <c r="AJ108">
        <f t="shared" si="93"/>
        <v>0</v>
      </c>
      <c r="AK108">
        <v>1275.77</v>
      </c>
      <c r="AL108">
        <v>20.12</v>
      </c>
      <c r="AM108">
        <v>802.62</v>
      </c>
      <c r="AN108">
        <v>375.23</v>
      </c>
      <c r="AO108">
        <v>453.03</v>
      </c>
      <c r="AP108">
        <v>0</v>
      </c>
      <c r="AQ108">
        <v>32.9</v>
      </c>
      <c r="AR108">
        <v>0</v>
      </c>
      <c r="AS108">
        <v>0</v>
      </c>
      <c r="AT108">
        <v>106</v>
      </c>
      <c r="AU108">
        <v>41</v>
      </c>
      <c r="AV108">
        <v>1</v>
      </c>
      <c r="AW108">
        <v>1</v>
      </c>
      <c r="AZ108">
        <v>1</v>
      </c>
      <c r="BA108">
        <v>25.13</v>
      </c>
      <c r="BB108">
        <v>15.87</v>
      </c>
      <c r="BC108">
        <v>5.97</v>
      </c>
      <c r="BD108" t="s">
        <v>3</v>
      </c>
      <c r="BE108" t="s">
        <v>3</v>
      </c>
      <c r="BF108" t="s">
        <v>3</v>
      </c>
      <c r="BG108" t="s">
        <v>3</v>
      </c>
      <c r="BH108">
        <v>0</v>
      </c>
      <c r="BI108">
        <v>1</v>
      </c>
      <c r="BJ108" t="s">
        <v>183</v>
      </c>
      <c r="BM108">
        <v>161</v>
      </c>
      <c r="BN108">
        <v>0</v>
      </c>
      <c r="BO108" t="s">
        <v>181</v>
      </c>
      <c r="BP108">
        <v>1</v>
      </c>
      <c r="BQ108">
        <v>30</v>
      </c>
      <c r="BR108">
        <v>0</v>
      </c>
      <c r="BS108">
        <v>25.13</v>
      </c>
      <c r="BT108">
        <v>1</v>
      </c>
      <c r="BU108">
        <v>1</v>
      </c>
      <c r="BV108">
        <v>1</v>
      </c>
      <c r="BW108">
        <v>1</v>
      </c>
      <c r="BX108">
        <v>1</v>
      </c>
      <c r="BY108" t="s">
        <v>3</v>
      </c>
      <c r="BZ108">
        <v>106</v>
      </c>
      <c r="CA108">
        <v>41</v>
      </c>
      <c r="CE108">
        <v>30</v>
      </c>
      <c r="CF108">
        <v>0</v>
      </c>
      <c r="CG108">
        <v>0</v>
      </c>
      <c r="CM108">
        <v>0</v>
      </c>
      <c r="CN108" t="s">
        <v>3</v>
      </c>
      <c r="CO108">
        <v>0</v>
      </c>
      <c r="CP108">
        <f t="shared" si="94"/>
        <v>296.8</v>
      </c>
      <c r="CQ108">
        <f t="shared" si="95"/>
        <v>120.12</v>
      </c>
      <c r="CR108">
        <f t="shared" si="96"/>
        <v>12737.58</v>
      </c>
      <c r="CS108">
        <f t="shared" si="97"/>
        <v>9429.5300000000007</v>
      </c>
      <c r="CT108">
        <f t="shared" si="98"/>
        <v>11384.64</v>
      </c>
      <c r="CU108">
        <f t="shared" si="99"/>
        <v>0</v>
      </c>
      <c r="CV108">
        <f t="shared" si="100"/>
        <v>32.9</v>
      </c>
      <c r="CW108">
        <f t="shared" si="101"/>
        <v>0</v>
      </c>
      <c r="CX108">
        <f t="shared" si="102"/>
        <v>0</v>
      </c>
      <c r="CY108">
        <f>S108*(BZ108/100)</f>
        <v>147.8382</v>
      </c>
      <c r="CZ108">
        <f>S108*(CA108/100)</f>
        <v>57.182699999999997</v>
      </c>
      <c r="DC108" t="s">
        <v>3</v>
      </c>
      <c r="DD108" t="s">
        <v>3</v>
      </c>
      <c r="DE108" t="s">
        <v>3</v>
      </c>
      <c r="DF108" t="s">
        <v>3</v>
      </c>
      <c r="DG108" t="s">
        <v>3</v>
      </c>
      <c r="DH108" t="s">
        <v>3</v>
      </c>
      <c r="DI108" t="s">
        <v>3</v>
      </c>
      <c r="DJ108" t="s">
        <v>3</v>
      </c>
      <c r="DK108" t="s">
        <v>3</v>
      </c>
      <c r="DL108" t="s">
        <v>3</v>
      </c>
      <c r="DM108" t="s">
        <v>3</v>
      </c>
      <c r="DN108">
        <v>134</v>
      </c>
      <c r="DO108">
        <v>83</v>
      </c>
      <c r="DP108">
        <v>1</v>
      </c>
      <c r="DQ108">
        <v>1</v>
      </c>
      <c r="DU108">
        <v>1003</v>
      </c>
      <c r="DV108" t="s">
        <v>131</v>
      </c>
      <c r="DW108" t="s">
        <v>131</v>
      </c>
      <c r="DX108">
        <v>100</v>
      </c>
      <c r="EE108">
        <v>45706621</v>
      </c>
      <c r="EF108">
        <v>30</v>
      </c>
      <c r="EG108" t="s">
        <v>58</v>
      </c>
      <c r="EH108">
        <v>0</v>
      </c>
      <c r="EI108" t="s">
        <v>3</v>
      </c>
      <c r="EJ108">
        <v>1</v>
      </c>
      <c r="EK108">
        <v>161</v>
      </c>
      <c r="EL108" t="s">
        <v>169</v>
      </c>
      <c r="EM108" t="s">
        <v>170</v>
      </c>
      <c r="EO108" t="s">
        <v>3</v>
      </c>
      <c r="EQ108">
        <v>0</v>
      </c>
      <c r="ER108">
        <v>1275.77</v>
      </c>
      <c r="ES108">
        <v>20.12</v>
      </c>
      <c r="ET108">
        <v>802.62</v>
      </c>
      <c r="EU108">
        <v>375.23</v>
      </c>
      <c r="EV108">
        <v>453.03</v>
      </c>
      <c r="EW108">
        <v>32.9</v>
      </c>
      <c r="EX108">
        <v>0</v>
      </c>
      <c r="EY108">
        <v>0</v>
      </c>
      <c r="FQ108">
        <v>0</v>
      </c>
      <c r="FR108">
        <f t="shared" si="103"/>
        <v>0</v>
      </c>
      <c r="FS108">
        <v>0</v>
      </c>
      <c r="FX108">
        <v>134</v>
      </c>
      <c r="FY108">
        <v>83</v>
      </c>
      <c r="GA108" t="s">
        <v>3</v>
      </c>
      <c r="GD108">
        <v>0</v>
      </c>
      <c r="GF108">
        <v>673677305</v>
      </c>
      <c r="GG108">
        <v>2</v>
      </c>
      <c r="GH108">
        <v>1</v>
      </c>
      <c r="GI108">
        <v>2</v>
      </c>
      <c r="GJ108">
        <v>0</v>
      </c>
      <c r="GK108">
        <f>ROUND(R108*(S12)/100,2)</f>
        <v>181.1</v>
      </c>
      <c r="GL108">
        <f t="shared" si="104"/>
        <v>0</v>
      </c>
      <c r="GM108">
        <f t="shared" si="112"/>
        <v>682.92</v>
      </c>
      <c r="GN108">
        <f t="shared" si="113"/>
        <v>682.92</v>
      </c>
      <c r="GO108">
        <f t="shared" si="114"/>
        <v>0</v>
      </c>
      <c r="GP108">
        <f t="shared" si="115"/>
        <v>0</v>
      </c>
      <c r="GR108">
        <v>0</v>
      </c>
      <c r="GS108">
        <v>3</v>
      </c>
      <c r="GT108">
        <v>0</v>
      </c>
      <c r="GU108" t="s">
        <v>3</v>
      </c>
      <c r="GV108">
        <f t="shared" si="109"/>
        <v>0</v>
      </c>
      <c r="GW108">
        <v>1</v>
      </c>
      <c r="GX108">
        <f t="shared" si="110"/>
        <v>0</v>
      </c>
      <c r="HA108">
        <v>0</v>
      </c>
      <c r="HB108">
        <v>0</v>
      </c>
      <c r="HC108">
        <f t="shared" si="111"/>
        <v>0</v>
      </c>
      <c r="HE108" t="s">
        <v>3</v>
      </c>
      <c r="HF108" t="s">
        <v>3</v>
      </c>
      <c r="IK108">
        <v>0</v>
      </c>
    </row>
    <row r="109" spans="1:255" x14ac:dyDescent="0.2">
      <c r="A109" s="2">
        <v>18</v>
      </c>
      <c r="B109" s="2">
        <v>1</v>
      </c>
      <c r="C109" s="2">
        <v>88</v>
      </c>
      <c r="D109" s="2"/>
      <c r="E109" s="2" t="s">
        <v>184</v>
      </c>
      <c r="F109" s="2" t="s">
        <v>185</v>
      </c>
      <c r="G109" s="2" t="s">
        <v>186</v>
      </c>
      <c r="H109" s="2" t="s">
        <v>187</v>
      </c>
      <c r="I109" s="2">
        <f>I107*J109</f>
        <v>8.201E-3</v>
      </c>
      <c r="J109" s="2">
        <v>0.67001633986928111</v>
      </c>
      <c r="K109" s="2"/>
      <c r="L109" s="2"/>
      <c r="M109" s="2"/>
      <c r="N109" s="2"/>
      <c r="O109" s="2">
        <f t="shared" si="74"/>
        <v>3.59</v>
      </c>
      <c r="P109" s="2">
        <f t="shared" si="75"/>
        <v>3.59</v>
      </c>
      <c r="Q109" s="2">
        <f t="shared" si="76"/>
        <v>0</v>
      </c>
      <c r="R109" s="2">
        <f t="shared" si="77"/>
        <v>0</v>
      </c>
      <c r="S109" s="2">
        <f t="shared" si="78"/>
        <v>0</v>
      </c>
      <c r="T109" s="2">
        <f t="shared" si="79"/>
        <v>0</v>
      </c>
      <c r="U109" s="2">
        <f t="shared" si="80"/>
        <v>0</v>
      </c>
      <c r="V109" s="2">
        <f t="shared" si="81"/>
        <v>0</v>
      </c>
      <c r="W109" s="2">
        <f t="shared" si="82"/>
        <v>0</v>
      </c>
      <c r="X109" s="2">
        <f t="shared" si="83"/>
        <v>0</v>
      </c>
      <c r="Y109" s="2">
        <f t="shared" si="84"/>
        <v>0</v>
      </c>
      <c r="Z109" s="2"/>
      <c r="AA109" s="2">
        <v>45748053</v>
      </c>
      <c r="AB109" s="2">
        <f t="shared" si="85"/>
        <v>437.82</v>
      </c>
      <c r="AC109" s="2">
        <f t="shared" si="116"/>
        <v>437.82</v>
      </c>
      <c r="AD109" s="2">
        <f t="shared" si="87"/>
        <v>0</v>
      </c>
      <c r="AE109" s="2">
        <f t="shared" si="88"/>
        <v>0</v>
      </c>
      <c r="AF109" s="2">
        <f t="shared" si="89"/>
        <v>0</v>
      </c>
      <c r="AG109" s="2">
        <f t="shared" si="90"/>
        <v>0</v>
      </c>
      <c r="AH109" s="2">
        <f t="shared" si="91"/>
        <v>0</v>
      </c>
      <c r="AI109" s="2">
        <f t="shared" si="92"/>
        <v>0</v>
      </c>
      <c r="AJ109" s="2">
        <f t="shared" si="93"/>
        <v>0</v>
      </c>
      <c r="AK109" s="2">
        <v>437.82</v>
      </c>
      <c r="AL109" s="2">
        <v>437.82</v>
      </c>
      <c r="AM109" s="2">
        <v>0</v>
      </c>
      <c r="AN109" s="2">
        <v>0</v>
      </c>
      <c r="AO109" s="2">
        <v>0</v>
      </c>
      <c r="AP109" s="2">
        <v>0</v>
      </c>
      <c r="AQ109" s="2">
        <v>0</v>
      </c>
      <c r="AR109" s="2">
        <v>0</v>
      </c>
      <c r="AS109" s="2">
        <v>0</v>
      </c>
      <c r="AT109" s="2">
        <v>134</v>
      </c>
      <c r="AU109" s="2">
        <v>83</v>
      </c>
      <c r="AV109" s="2">
        <v>1</v>
      </c>
      <c r="AW109" s="2">
        <v>1</v>
      </c>
      <c r="AX109" s="2"/>
      <c r="AY109" s="2"/>
      <c r="AZ109" s="2">
        <v>1</v>
      </c>
      <c r="BA109" s="2">
        <v>1</v>
      </c>
      <c r="BB109" s="2">
        <v>1</v>
      </c>
      <c r="BC109" s="2">
        <v>1</v>
      </c>
      <c r="BD109" s="2" t="s">
        <v>3</v>
      </c>
      <c r="BE109" s="2" t="s">
        <v>3</v>
      </c>
      <c r="BF109" s="2" t="s">
        <v>3</v>
      </c>
      <c r="BG109" s="2" t="s">
        <v>3</v>
      </c>
      <c r="BH109" s="2">
        <v>3</v>
      </c>
      <c r="BI109" s="2">
        <v>1</v>
      </c>
      <c r="BJ109" s="2" t="s">
        <v>188</v>
      </c>
      <c r="BK109" s="2"/>
      <c r="BL109" s="2"/>
      <c r="BM109" s="2">
        <v>161</v>
      </c>
      <c r="BN109" s="2">
        <v>0</v>
      </c>
      <c r="BO109" s="2" t="s">
        <v>3</v>
      </c>
      <c r="BP109" s="2">
        <v>0</v>
      </c>
      <c r="BQ109" s="2">
        <v>30</v>
      </c>
      <c r="BR109" s="2">
        <v>0</v>
      </c>
      <c r="BS109" s="2">
        <v>1</v>
      </c>
      <c r="BT109" s="2">
        <v>1</v>
      </c>
      <c r="BU109" s="2">
        <v>1</v>
      </c>
      <c r="BV109" s="2">
        <v>1</v>
      </c>
      <c r="BW109" s="2">
        <v>1</v>
      </c>
      <c r="BX109" s="2">
        <v>1</v>
      </c>
      <c r="BY109" s="2" t="s">
        <v>3</v>
      </c>
      <c r="BZ109" s="2">
        <v>134</v>
      </c>
      <c r="CA109" s="2">
        <v>83</v>
      </c>
      <c r="CB109" s="2"/>
      <c r="CC109" s="2"/>
      <c r="CD109" s="2"/>
      <c r="CE109" s="2">
        <v>30</v>
      </c>
      <c r="CF109" s="2">
        <v>0</v>
      </c>
      <c r="CG109" s="2">
        <v>0</v>
      </c>
      <c r="CH109" s="2"/>
      <c r="CI109" s="2"/>
      <c r="CJ109" s="2"/>
      <c r="CK109" s="2"/>
      <c r="CL109" s="2"/>
      <c r="CM109" s="2">
        <v>0</v>
      </c>
      <c r="CN109" s="2" t="s">
        <v>3</v>
      </c>
      <c r="CO109" s="2">
        <v>0</v>
      </c>
      <c r="CP109" s="2">
        <f t="shared" si="94"/>
        <v>3.59</v>
      </c>
      <c r="CQ109" s="2">
        <f t="shared" si="95"/>
        <v>437.82</v>
      </c>
      <c r="CR109" s="2">
        <f t="shared" si="96"/>
        <v>0</v>
      </c>
      <c r="CS109" s="2">
        <f t="shared" si="97"/>
        <v>0</v>
      </c>
      <c r="CT109" s="2">
        <f t="shared" si="98"/>
        <v>0</v>
      </c>
      <c r="CU109" s="2">
        <f t="shared" si="99"/>
        <v>0</v>
      </c>
      <c r="CV109" s="2">
        <f t="shared" si="100"/>
        <v>0</v>
      </c>
      <c r="CW109" s="2">
        <f t="shared" si="101"/>
        <v>0</v>
      </c>
      <c r="CX109" s="2">
        <f t="shared" si="102"/>
        <v>0</v>
      </c>
      <c r="CY109" s="2">
        <f>((S109*BZ109)/100)</f>
        <v>0</v>
      </c>
      <c r="CZ109" s="2">
        <f>((S109*CA109)/100)</f>
        <v>0</v>
      </c>
      <c r="DA109" s="2"/>
      <c r="DB109" s="2"/>
      <c r="DC109" s="2" t="s">
        <v>3</v>
      </c>
      <c r="DD109" s="2" t="s">
        <v>3</v>
      </c>
      <c r="DE109" s="2" t="s">
        <v>3</v>
      </c>
      <c r="DF109" s="2" t="s">
        <v>3</v>
      </c>
      <c r="DG109" s="2" t="s">
        <v>3</v>
      </c>
      <c r="DH109" s="2" t="s">
        <v>3</v>
      </c>
      <c r="DI109" s="2" t="s">
        <v>3</v>
      </c>
      <c r="DJ109" s="2" t="s">
        <v>3</v>
      </c>
      <c r="DK109" s="2" t="s">
        <v>3</v>
      </c>
      <c r="DL109" s="2" t="s">
        <v>3</v>
      </c>
      <c r="DM109" s="2" t="s">
        <v>3</v>
      </c>
      <c r="DN109" s="2">
        <v>0</v>
      </c>
      <c r="DO109" s="2">
        <v>0</v>
      </c>
      <c r="DP109" s="2">
        <v>1</v>
      </c>
      <c r="DQ109" s="2">
        <v>1</v>
      </c>
      <c r="DR109" s="2"/>
      <c r="DS109" s="2"/>
      <c r="DT109" s="2"/>
      <c r="DU109" s="2">
        <v>1010</v>
      </c>
      <c r="DV109" s="2" t="s">
        <v>187</v>
      </c>
      <c r="DW109" s="2" t="s">
        <v>187</v>
      </c>
      <c r="DX109" s="2">
        <v>1</v>
      </c>
      <c r="DY109" s="2"/>
      <c r="DZ109" s="2"/>
      <c r="EA109" s="2"/>
      <c r="EB109" s="2"/>
      <c r="EC109" s="2"/>
      <c r="ED109" s="2"/>
      <c r="EE109" s="2">
        <v>45706621</v>
      </c>
      <c r="EF109" s="2">
        <v>30</v>
      </c>
      <c r="EG109" s="2" t="s">
        <v>58</v>
      </c>
      <c r="EH109" s="2">
        <v>0</v>
      </c>
      <c r="EI109" s="2" t="s">
        <v>3</v>
      </c>
      <c r="EJ109" s="2">
        <v>1</v>
      </c>
      <c r="EK109" s="2">
        <v>161</v>
      </c>
      <c r="EL109" s="2" t="s">
        <v>169</v>
      </c>
      <c r="EM109" s="2" t="s">
        <v>170</v>
      </c>
      <c r="EN109" s="2"/>
      <c r="EO109" s="2" t="s">
        <v>3</v>
      </c>
      <c r="EP109" s="2"/>
      <c r="EQ109" s="2">
        <v>0</v>
      </c>
      <c r="ER109" s="2">
        <v>437.82</v>
      </c>
      <c r="ES109" s="2">
        <v>437.82</v>
      </c>
      <c r="ET109" s="2">
        <v>0</v>
      </c>
      <c r="EU109" s="2">
        <v>0</v>
      </c>
      <c r="EV109" s="2">
        <v>0</v>
      </c>
      <c r="EW109" s="2">
        <v>0</v>
      </c>
      <c r="EX109" s="2">
        <v>0</v>
      </c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>
        <v>0</v>
      </c>
      <c r="FR109" s="2">
        <f t="shared" si="103"/>
        <v>0</v>
      </c>
      <c r="FS109" s="2">
        <v>0</v>
      </c>
      <c r="FT109" s="2"/>
      <c r="FU109" s="2"/>
      <c r="FV109" s="2"/>
      <c r="FW109" s="2"/>
      <c r="FX109" s="2">
        <v>134</v>
      </c>
      <c r="FY109" s="2">
        <v>83</v>
      </c>
      <c r="FZ109" s="2"/>
      <c r="GA109" s="2" t="s">
        <v>3</v>
      </c>
      <c r="GB109" s="2"/>
      <c r="GC109" s="2"/>
      <c r="GD109" s="2">
        <v>0</v>
      </c>
      <c r="GE109" s="2"/>
      <c r="GF109" s="2">
        <v>-1816805806</v>
      </c>
      <c r="GG109" s="2">
        <v>2</v>
      </c>
      <c r="GH109" s="2">
        <v>1</v>
      </c>
      <c r="GI109" s="2">
        <v>-2</v>
      </c>
      <c r="GJ109" s="2">
        <v>0</v>
      </c>
      <c r="GK109" s="2">
        <f>ROUND(R109*(R12)/100,2)</f>
        <v>0</v>
      </c>
      <c r="GL109" s="2">
        <f t="shared" si="104"/>
        <v>0</v>
      </c>
      <c r="GM109" s="2">
        <f t="shared" si="112"/>
        <v>3.59</v>
      </c>
      <c r="GN109" s="2">
        <f t="shared" si="113"/>
        <v>3.59</v>
      </c>
      <c r="GO109" s="2">
        <f t="shared" si="114"/>
        <v>0</v>
      </c>
      <c r="GP109" s="2">
        <f t="shared" si="115"/>
        <v>0</v>
      </c>
      <c r="GQ109" s="2"/>
      <c r="GR109" s="2">
        <v>0</v>
      </c>
      <c r="GS109" s="2">
        <v>3</v>
      </c>
      <c r="GT109" s="2">
        <v>0</v>
      </c>
      <c r="GU109" s="2" t="s">
        <v>3</v>
      </c>
      <c r="GV109" s="2">
        <f t="shared" si="109"/>
        <v>0</v>
      </c>
      <c r="GW109" s="2">
        <v>1</v>
      </c>
      <c r="GX109" s="2">
        <f t="shared" si="110"/>
        <v>0</v>
      </c>
      <c r="GY109" s="2"/>
      <c r="GZ109" s="2"/>
      <c r="HA109" s="2">
        <v>0</v>
      </c>
      <c r="HB109" s="2">
        <v>0</v>
      </c>
      <c r="HC109" s="2">
        <f t="shared" si="111"/>
        <v>0</v>
      </c>
      <c r="HD109" s="2"/>
      <c r="HE109" s="2" t="s">
        <v>3</v>
      </c>
      <c r="HF109" s="2" t="s">
        <v>3</v>
      </c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>
        <v>0</v>
      </c>
      <c r="IL109" s="2"/>
      <c r="IM109" s="2"/>
      <c r="IN109" s="2"/>
      <c r="IO109" s="2"/>
      <c r="IP109" s="2"/>
      <c r="IQ109" s="2"/>
      <c r="IR109" s="2"/>
      <c r="IS109" s="2"/>
      <c r="IT109" s="2"/>
      <c r="IU109" s="2"/>
    </row>
    <row r="110" spans="1:255" x14ac:dyDescent="0.2">
      <c r="A110">
        <v>18</v>
      </c>
      <c r="B110">
        <v>1</v>
      </c>
      <c r="C110">
        <v>93</v>
      </c>
      <c r="E110" t="s">
        <v>184</v>
      </c>
      <c r="F110" t="s">
        <v>185</v>
      </c>
      <c r="G110" t="s">
        <v>186</v>
      </c>
      <c r="H110" t="s">
        <v>187</v>
      </c>
      <c r="I110">
        <f>I108*J110</f>
        <v>8.201E-3</v>
      </c>
      <c r="J110">
        <v>0.67001633986928111</v>
      </c>
      <c r="O110">
        <f t="shared" si="74"/>
        <v>6.5</v>
      </c>
      <c r="P110">
        <f t="shared" si="75"/>
        <v>6.5</v>
      </c>
      <c r="Q110">
        <f t="shared" si="76"/>
        <v>0</v>
      </c>
      <c r="R110">
        <f t="shared" si="77"/>
        <v>0</v>
      </c>
      <c r="S110">
        <f t="shared" si="78"/>
        <v>0</v>
      </c>
      <c r="T110">
        <f t="shared" si="79"/>
        <v>0</v>
      </c>
      <c r="U110">
        <f t="shared" si="80"/>
        <v>0</v>
      </c>
      <c r="V110">
        <f t="shared" si="81"/>
        <v>0</v>
      </c>
      <c r="W110">
        <f t="shared" si="82"/>
        <v>0</v>
      </c>
      <c r="X110">
        <f t="shared" si="83"/>
        <v>0</v>
      </c>
      <c r="Y110">
        <f t="shared" si="84"/>
        <v>0</v>
      </c>
      <c r="AA110">
        <v>45747932</v>
      </c>
      <c r="AB110">
        <f t="shared" si="85"/>
        <v>437.82</v>
      </c>
      <c r="AC110">
        <f t="shared" si="116"/>
        <v>437.82</v>
      </c>
      <c r="AD110">
        <f t="shared" si="87"/>
        <v>0</v>
      </c>
      <c r="AE110">
        <f t="shared" si="88"/>
        <v>0</v>
      </c>
      <c r="AF110">
        <f t="shared" si="89"/>
        <v>0</v>
      </c>
      <c r="AG110">
        <f t="shared" si="90"/>
        <v>0</v>
      </c>
      <c r="AH110">
        <f t="shared" si="91"/>
        <v>0</v>
      </c>
      <c r="AI110">
        <f t="shared" si="92"/>
        <v>0</v>
      </c>
      <c r="AJ110">
        <f t="shared" si="93"/>
        <v>0</v>
      </c>
      <c r="AK110">
        <v>437.82</v>
      </c>
      <c r="AL110">
        <v>437.82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  <c r="AS110">
        <v>0</v>
      </c>
      <c r="AT110">
        <v>0</v>
      </c>
      <c r="AU110">
        <v>0</v>
      </c>
      <c r="AV110">
        <v>1</v>
      </c>
      <c r="AW110">
        <v>1</v>
      </c>
      <c r="AZ110">
        <v>1</v>
      </c>
      <c r="BA110">
        <v>1</v>
      </c>
      <c r="BB110">
        <v>1</v>
      </c>
      <c r="BC110">
        <v>1.81</v>
      </c>
      <c r="BD110" t="s">
        <v>3</v>
      </c>
      <c r="BE110" t="s">
        <v>3</v>
      </c>
      <c r="BF110" t="s">
        <v>3</v>
      </c>
      <c r="BG110" t="s">
        <v>3</v>
      </c>
      <c r="BH110">
        <v>3</v>
      </c>
      <c r="BI110">
        <v>1</v>
      </c>
      <c r="BJ110" t="s">
        <v>188</v>
      </c>
      <c r="BM110">
        <v>161</v>
      </c>
      <c r="BN110">
        <v>0</v>
      </c>
      <c r="BO110" t="s">
        <v>185</v>
      </c>
      <c r="BP110">
        <v>1</v>
      </c>
      <c r="BQ110">
        <v>30</v>
      </c>
      <c r="BR110">
        <v>0</v>
      </c>
      <c r="BS110">
        <v>1</v>
      </c>
      <c r="BT110">
        <v>1</v>
      </c>
      <c r="BU110">
        <v>1</v>
      </c>
      <c r="BV110">
        <v>1</v>
      </c>
      <c r="BW110">
        <v>1</v>
      </c>
      <c r="BX110">
        <v>1</v>
      </c>
      <c r="BY110" t="s">
        <v>3</v>
      </c>
      <c r="BZ110">
        <v>0</v>
      </c>
      <c r="CA110">
        <v>0</v>
      </c>
      <c r="CE110">
        <v>30</v>
      </c>
      <c r="CF110">
        <v>0</v>
      </c>
      <c r="CG110">
        <v>0</v>
      </c>
      <c r="CM110">
        <v>0</v>
      </c>
      <c r="CN110" t="s">
        <v>3</v>
      </c>
      <c r="CO110">
        <v>0</v>
      </c>
      <c r="CP110">
        <f t="shared" si="94"/>
        <v>6.5</v>
      </c>
      <c r="CQ110">
        <f t="shared" si="95"/>
        <v>792.45</v>
      </c>
      <c r="CR110">
        <f t="shared" si="96"/>
        <v>0</v>
      </c>
      <c r="CS110">
        <f t="shared" si="97"/>
        <v>0</v>
      </c>
      <c r="CT110">
        <f t="shared" si="98"/>
        <v>0</v>
      </c>
      <c r="CU110">
        <f t="shared" si="99"/>
        <v>0</v>
      </c>
      <c r="CV110">
        <f t="shared" si="100"/>
        <v>0</v>
      </c>
      <c r="CW110">
        <f t="shared" si="101"/>
        <v>0</v>
      </c>
      <c r="CX110">
        <f t="shared" si="102"/>
        <v>0</v>
      </c>
      <c r="CY110">
        <f>S110*(BZ110/100)</f>
        <v>0</v>
      </c>
      <c r="CZ110">
        <f>S110*(CA110/100)</f>
        <v>0</v>
      </c>
      <c r="DC110" t="s">
        <v>3</v>
      </c>
      <c r="DD110" t="s">
        <v>3</v>
      </c>
      <c r="DE110" t="s">
        <v>3</v>
      </c>
      <c r="DF110" t="s">
        <v>3</v>
      </c>
      <c r="DG110" t="s">
        <v>3</v>
      </c>
      <c r="DH110" t="s">
        <v>3</v>
      </c>
      <c r="DI110" t="s">
        <v>3</v>
      </c>
      <c r="DJ110" t="s">
        <v>3</v>
      </c>
      <c r="DK110" t="s">
        <v>3</v>
      </c>
      <c r="DL110" t="s">
        <v>3</v>
      </c>
      <c r="DM110" t="s">
        <v>3</v>
      </c>
      <c r="DN110">
        <v>134</v>
      </c>
      <c r="DO110">
        <v>83</v>
      </c>
      <c r="DP110">
        <v>1</v>
      </c>
      <c r="DQ110">
        <v>1</v>
      </c>
      <c r="DU110">
        <v>1010</v>
      </c>
      <c r="DV110" t="s">
        <v>187</v>
      </c>
      <c r="DW110" t="s">
        <v>187</v>
      </c>
      <c r="DX110">
        <v>1</v>
      </c>
      <c r="EE110">
        <v>45706621</v>
      </c>
      <c r="EF110">
        <v>30</v>
      </c>
      <c r="EG110" t="s">
        <v>58</v>
      </c>
      <c r="EH110">
        <v>0</v>
      </c>
      <c r="EI110" t="s">
        <v>3</v>
      </c>
      <c r="EJ110">
        <v>1</v>
      </c>
      <c r="EK110">
        <v>161</v>
      </c>
      <c r="EL110" t="s">
        <v>169</v>
      </c>
      <c r="EM110" t="s">
        <v>170</v>
      </c>
      <c r="EO110" t="s">
        <v>3</v>
      </c>
      <c r="EQ110">
        <v>0</v>
      </c>
      <c r="ER110">
        <v>437.82</v>
      </c>
      <c r="ES110">
        <v>437.82</v>
      </c>
      <c r="ET110">
        <v>0</v>
      </c>
      <c r="EU110">
        <v>0</v>
      </c>
      <c r="EV110">
        <v>0</v>
      </c>
      <c r="EW110">
        <v>0</v>
      </c>
      <c r="EX110">
        <v>0</v>
      </c>
      <c r="FQ110">
        <v>0</v>
      </c>
      <c r="FR110">
        <f t="shared" si="103"/>
        <v>0</v>
      </c>
      <c r="FS110">
        <v>0</v>
      </c>
      <c r="FX110">
        <v>134</v>
      </c>
      <c r="FY110">
        <v>83</v>
      </c>
      <c r="GA110" t="s">
        <v>3</v>
      </c>
      <c r="GD110">
        <v>0</v>
      </c>
      <c r="GF110">
        <v>-1816805806</v>
      </c>
      <c r="GG110">
        <v>2</v>
      </c>
      <c r="GH110">
        <v>1</v>
      </c>
      <c r="GI110">
        <v>2</v>
      </c>
      <c r="GJ110">
        <v>0</v>
      </c>
      <c r="GK110">
        <f>ROUND(R110*(S12)/100,2)</f>
        <v>0</v>
      </c>
      <c r="GL110">
        <f t="shared" si="104"/>
        <v>0</v>
      </c>
      <c r="GM110">
        <f t="shared" si="112"/>
        <v>6.5</v>
      </c>
      <c r="GN110">
        <f t="shared" si="113"/>
        <v>6.5</v>
      </c>
      <c r="GO110">
        <f t="shared" si="114"/>
        <v>0</v>
      </c>
      <c r="GP110">
        <f t="shared" si="115"/>
        <v>0</v>
      </c>
      <c r="GR110">
        <v>0</v>
      </c>
      <c r="GS110">
        <v>3</v>
      </c>
      <c r="GT110">
        <v>0</v>
      </c>
      <c r="GU110" t="s">
        <v>3</v>
      </c>
      <c r="GV110">
        <f t="shared" si="109"/>
        <v>0</v>
      </c>
      <c r="GW110">
        <v>1</v>
      </c>
      <c r="GX110">
        <f t="shared" si="110"/>
        <v>0</v>
      </c>
      <c r="HA110">
        <v>0</v>
      </c>
      <c r="HB110">
        <v>0</v>
      </c>
      <c r="HC110">
        <f t="shared" si="111"/>
        <v>0</v>
      </c>
      <c r="HE110" t="s">
        <v>3</v>
      </c>
      <c r="HF110" t="s">
        <v>3</v>
      </c>
      <c r="IK110">
        <v>0</v>
      </c>
    </row>
    <row r="112" spans="1:255" x14ac:dyDescent="0.2">
      <c r="A112" s="3">
        <v>51</v>
      </c>
      <c r="B112" s="3">
        <f>B79</f>
        <v>1</v>
      </c>
      <c r="C112" s="3">
        <f>A79</f>
        <v>4</v>
      </c>
      <c r="D112" s="3">
        <f>ROW(A79)</f>
        <v>79</v>
      </c>
      <c r="E112" s="3"/>
      <c r="F112" s="3" t="str">
        <f>IF(F79&lt;&gt;"",F79,"")</f>
        <v>Новый раздел</v>
      </c>
      <c r="G112" s="3" t="str">
        <f>IF(G79&lt;&gt;"",G79,"")</f>
        <v>Замена бортового гранитного камня</v>
      </c>
      <c r="H112" s="3">
        <v>0</v>
      </c>
      <c r="I112" s="3"/>
      <c r="J112" s="3"/>
      <c r="K112" s="3"/>
      <c r="L112" s="3"/>
      <c r="M112" s="3"/>
      <c r="N112" s="3"/>
      <c r="O112" s="3">
        <f t="shared" ref="O112:T112" si="117">ROUND(AB112,2)</f>
        <v>274775.74</v>
      </c>
      <c r="P112" s="3">
        <f t="shared" si="117"/>
        <v>269084.11</v>
      </c>
      <c r="Q112" s="3">
        <f t="shared" si="117"/>
        <v>2679.13</v>
      </c>
      <c r="R112" s="3">
        <f t="shared" si="117"/>
        <v>66.38</v>
      </c>
      <c r="S112" s="3">
        <f t="shared" si="117"/>
        <v>3012.5</v>
      </c>
      <c r="T112" s="3">
        <f t="shared" si="117"/>
        <v>0</v>
      </c>
      <c r="U112" s="3">
        <f>AH112</f>
        <v>262.7554068</v>
      </c>
      <c r="V112" s="3">
        <f>AI112</f>
        <v>0</v>
      </c>
      <c r="W112" s="3">
        <f>ROUND(AJ112,2)</f>
        <v>0</v>
      </c>
      <c r="X112" s="3">
        <f>ROUND(AK112,2)</f>
        <v>3857.52</v>
      </c>
      <c r="Y112" s="3">
        <f>ROUND(AL112,2)</f>
        <v>2519.4</v>
      </c>
      <c r="Z112" s="3"/>
      <c r="AA112" s="3"/>
      <c r="AB112" s="3">
        <f>ROUND(SUMIF(AA83:AA110,"=45748053",O83:O110),2)</f>
        <v>274775.74</v>
      </c>
      <c r="AC112" s="3">
        <f>ROUND(SUMIF(AA83:AA110,"=45748053",P83:P110),2)</f>
        <v>269084.11</v>
      </c>
      <c r="AD112" s="3">
        <f>ROUND(SUMIF(AA83:AA110,"=45748053",Q83:Q110),2)</f>
        <v>2679.13</v>
      </c>
      <c r="AE112" s="3">
        <f>ROUND(SUMIF(AA83:AA110,"=45748053",R83:R110),2)</f>
        <v>66.38</v>
      </c>
      <c r="AF112" s="3">
        <f>ROUND(SUMIF(AA83:AA110,"=45748053",S83:S110),2)</f>
        <v>3012.5</v>
      </c>
      <c r="AG112" s="3">
        <f>ROUND(SUMIF(AA83:AA110,"=45748053",T83:T110),2)</f>
        <v>0</v>
      </c>
      <c r="AH112" s="3">
        <f>SUMIF(AA83:AA110,"=45748053",U83:U110)</f>
        <v>262.7554068</v>
      </c>
      <c r="AI112" s="3">
        <f>SUMIF(AA83:AA110,"=45748053",V83:V110)</f>
        <v>0</v>
      </c>
      <c r="AJ112" s="3">
        <f>ROUND(SUMIF(AA83:AA110,"=45748053",W83:W110),2)</f>
        <v>0</v>
      </c>
      <c r="AK112" s="3">
        <f>ROUND(SUMIF(AA83:AA110,"=45748053",X83:X110),2)</f>
        <v>3857.52</v>
      </c>
      <c r="AL112" s="3">
        <f>ROUND(SUMIF(AA83:AA110,"=45748053",Y83:Y110),2)</f>
        <v>2519.4</v>
      </c>
      <c r="AM112" s="3"/>
      <c r="AN112" s="3"/>
      <c r="AO112" s="3">
        <f t="shared" ref="AO112:BD112" si="118">ROUND(BX112,2)</f>
        <v>0</v>
      </c>
      <c r="AP112" s="3">
        <f t="shared" si="118"/>
        <v>0</v>
      </c>
      <c r="AQ112" s="3">
        <f t="shared" si="118"/>
        <v>0</v>
      </c>
      <c r="AR112" s="3">
        <f t="shared" si="118"/>
        <v>281268.84000000003</v>
      </c>
      <c r="AS112" s="3">
        <f t="shared" si="118"/>
        <v>279063.43</v>
      </c>
      <c r="AT112" s="3">
        <f t="shared" si="118"/>
        <v>0</v>
      </c>
      <c r="AU112" s="3">
        <f t="shared" si="118"/>
        <v>2205.41</v>
      </c>
      <c r="AV112" s="3">
        <f t="shared" si="118"/>
        <v>269084.11</v>
      </c>
      <c r="AW112" s="3">
        <f t="shared" si="118"/>
        <v>269084.11</v>
      </c>
      <c r="AX112" s="3">
        <f t="shared" si="118"/>
        <v>0</v>
      </c>
      <c r="AY112" s="3">
        <f t="shared" si="118"/>
        <v>269084.11</v>
      </c>
      <c r="AZ112" s="3">
        <f t="shared" si="118"/>
        <v>0</v>
      </c>
      <c r="BA112" s="3">
        <f t="shared" si="118"/>
        <v>0</v>
      </c>
      <c r="BB112" s="3">
        <f t="shared" si="118"/>
        <v>0</v>
      </c>
      <c r="BC112" s="3">
        <f t="shared" si="118"/>
        <v>0</v>
      </c>
      <c r="BD112" s="3">
        <f t="shared" si="118"/>
        <v>0</v>
      </c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>
        <f>ROUND(SUMIF(AA83:AA110,"=45748053",FQ83:FQ110),2)</f>
        <v>0</v>
      </c>
      <c r="BY112" s="3">
        <f>ROUND(SUMIF(AA83:AA110,"=45748053",FR83:FR110),2)</f>
        <v>0</v>
      </c>
      <c r="BZ112" s="3">
        <f>ROUND(SUMIF(AA83:AA110,"=45748053",GL83:GL110),2)</f>
        <v>0</v>
      </c>
      <c r="CA112" s="3">
        <f>ROUND(SUMIF(AA83:AA110,"=45748053",GM83:GM110),2)</f>
        <v>281268.84000000003</v>
      </c>
      <c r="CB112" s="3">
        <f>ROUND(SUMIF(AA83:AA110,"=45748053",GN83:GN110),2)</f>
        <v>279063.43</v>
      </c>
      <c r="CC112" s="3">
        <f>ROUND(SUMIF(AA83:AA110,"=45748053",GO83:GO110),2)</f>
        <v>0</v>
      </c>
      <c r="CD112" s="3">
        <f>ROUND(SUMIF(AA83:AA110,"=45748053",GP83:GP110),2)</f>
        <v>2205.41</v>
      </c>
      <c r="CE112" s="3">
        <f>AC112-BX112</f>
        <v>269084.11</v>
      </c>
      <c r="CF112" s="3">
        <f>AC112-BY112</f>
        <v>269084.11</v>
      </c>
      <c r="CG112" s="3">
        <f>BX112-BZ112</f>
        <v>0</v>
      </c>
      <c r="CH112" s="3">
        <f>AC112-BX112-BY112+BZ112</f>
        <v>269084.11</v>
      </c>
      <c r="CI112" s="3">
        <f>BY112-BZ112</f>
        <v>0</v>
      </c>
      <c r="CJ112" s="3">
        <f>ROUND(SUMIF(AA83:AA110,"=45748053",GX83:GX110),2)</f>
        <v>0</v>
      </c>
      <c r="CK112" s="3">
        <f>ROUND(SUMIF(AA83:AA110,"=45748053",GY83:GY110),2)</f>
        <v>0</v>
      </c>
      <c r="CL112" s="3">
        <f>ROUND(SUMIF(AA83:AA110,"=45748053",GZ83:GZ110),2)</f>
        <v>0</v>
      </c>
      <c r="CM112" s="3">
        <f>ROUND(SUMIF(AA83:AA110,"=45748053",HD83:HD110),2)</f>
        <v>0</v>
      </c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4">
        <f t="shared" ref="DG112:DL112" si="119">ROUND(DT112,2)</f>
        <v>731449.28</v>
      </c>
      <c r="DH112" s="4">
        <f t="shared" si="119"/>
        <v>630393.16</v>
      </c>
      <c r="DI112" s="4">
        <f t="shared" si="119"/>
        <v>25351.99</v>
      </c>
      <c r="DJ112" s="4">
        <f t="shared" si="119"/>
        <v>1668.14</v>
      </c>
      <c r="DK112" s="4">
        <f t="shared" si="119"/>
        <v>75704.13</v>
      </c>
      <c r="DL112" s="4">
        <f t="shared" si="119"/>
        <v>0</v>
      </c>
      <c r="DM112" s="4">
        <f>DZ112</f>
        <v>262.7554068</v>
      </c>
      <c r="DN112" s="4">
        <f>EA112</f>
        <v>0</v>
      </c>
      <c r="DO112" s="4">
        <f>ROUND(EB112,2)</f>
        <v>0</v>
      </c>
      <c r="DP112" s="4">
        <f>ROUND(EC112,2)</f>
        <v>78736.649999999994</v>
      </c>
      <c r="DQ112" s="4">
        <f>ROUND(ED112,2)</f>
        <v>34655.18</v>
      </c>
      <c r="DR112" s="4"/>
      <c r="DS112" s="4"/>
      <c r="DT112" s="4">
        <f>ROUND(SUMIF(AA83:AA110,"=45747932",O83:O110),2)</f>
        <v>731449.28</v>
      </c>
      <c r="DU112" s="4">
        <f>ROUND(SUMIF(AA83:AA110,"=45747932",P83:P110),2)</f>
        <v>630393.16</v>
      </c>
      <c r="DV112" s="4">
        <f>ROUND(SUMIF(AA83:AA110,"=45747932",Q83:Q110),2)</f>
        <v>25351.99</v>
      </c>
      <c r="DW112" s="4">
        <f>ROUND(SUMIF(AA83:AA110,"=45747932",R83:R110),2)</f>
        <v>1668.14</v>
      </c>
      <c r="DX112" s="4">
        <f>ROUND(SUMIF(AA83:AA110,"=45747932",S83:S110),2)</f>
        <v>75704.13</v>
      </c>
      <c r="DY112" s="4">
        <f>ROUND(SUMIF(AA83:AA110,"=45747932",T83:T110),2)</f>
        <v>0</v>
      </c>
      <c r="DZ112" s="4">
        <f>SUMIF(AA83:AA110,"=45747932",U83:U110)</f>
        <v>262.7554068</v>
      </c>
      <c r="EA112" s="4">
        <f>SUMIF(AA83:AA110,"=45747932",V83:V110)</f>
        <v>0</v>
      </c>
      <c r="EB112" s="4">
        <f>ROUND(SUMIF(AA83:AA110,"=45747932",W83:W110),2)</f>
        <v>0</v>
      </c>
      <c r="EC112" s="4">
        <f>ROUND(SUMIF(AA83:AA110,"=45747932",X83:X110),2)</f>
        <v>78736.649999999994</v>
      </c>
      <c r="ED112" s="4">
        <f>ROUND(SUMIF(AA83:AA110,"=45747932",Y83:Y110),2)</f>
        <v>34655.18</v>
      </c>
      <c r="EE112" s="4"/>
      <c r="EF112" s="4"/>
      <c r="EG112" s="4">
        <f t="shared" ref="EG112:EV112" si="120">ROUND(FP112,2)</f>
        <v>0</v>
      </c>
      <c r="EH112" s="4">
        <f t="shared" si="120"/>
        <v>0</v>
      </c>
      <c r="EI112" s="4">
        <f t="shared" si="120"/>
        <v>0</v>
      </c>
      <c r="EJ112" s="4">
        <f t="shared" si="120"/>
        <v>847460.08</v>
      </c>
      <c r="EK112" s="4">
        <f t="shared" si="120"/>
        <v>826340.74</v>
      </c>
      <c r="EL112" s="4">
        <f t="shared" si="120"/>
        <v>0</v>
      </c>
      <c r="EM112" s="4">
        <f t="shared" si="120"/>
        <v>21119.34</v>
      </c>
      <c r="EN112" s="4">
        <f t="shared" si="120"/>
        <v>630393.16</v>
      </c>
      <c r="EO112" s="4">
        <f t="shared" si="120"/>
        <v>630393.16</v>
      </c>
      <c r="EP112" s="4">
        <f t="shared" si="120"/>
        <v>0</v>
      </c>
      <c r="EQ112" s="4">
        <f t="shared" si="120"/>
        <v>630393.16</v>
      </c>
      <c r="ER112" s="4">
        <f t="shared" si="120"/>
        <v>0</v>
      </c>
      <c r="ES112" s="4">
        <f t="shared" si="120"/>
        <v>0</v>
      </c>
      <c r="ET112" s="4">
        <f t="shared" si="120"/>
        <v>0</v>
      </c>
      <c r="EU112" s="4">
        <f t="shared" si="120"/>
        <v>0</v>
      </c>
      <c r="EV112" s="4">
        <f t="shared" si="120"/>
        <v>0</v>
      </c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>
        <f>ROUND(SUMIF(AA83:AA110,"=45747932",FQ83:FQ110),2)</f>
        <v>0</v>
      </c>
      <c r="FQ112" s="4">
        <f>ROUND(SUMIF(AA83:AA110,"=45747932",FR83:FR110),2)</f>
        <v>0</v>
      </c>
      <c r="FR112" s="4">
        <f>ROUND(SUMIF(AA83:AA110,"=45747932",GL83:GL110),2)</f>
        <v>0</v>
      </c>
      <c r="FS112" s="4">
        <f>ROUND(SUMIF(AA83:AA110,"=45747932",GM83:GM110),2)</f>
        <v>847460.08</v>
      </c>
      <c r="FT112" s="4">
        <f>ROUND(SUMIF(AA83:AA110,"=45747932",GN83:GN110),2)</f>
        <v>826340.74</v>
      </c>
      <c r="FU112" s="4">
        <f>ROUND(SUMIF(AA83:AA110,"=45747932",GO83:GO110),2)</f>
        <v>0</v>
      </c>
      <c r="FV112" s="4">
        <f>ROUND(SUMIF(AA83:AA110,"=45747932",GP83:GP110),2)</f>
        <v>21119.34</v>
      </c>
      <c r="FW112" s="4">
        <f>DU112-FP112</f>
        <v>630393.16</v>
      </c>
      <c r="FX112" s="4">
        <f>DU112-FQ112</f>
        <v>630393.16</v>
      </c>
      <c r="FY112" s="4">
        <f>FP112-FR112</f>
        <v>0</v>
      </c>
      <c r="FZ112" s="4">
        <f>DU112-FP112-FQ112+FR112</f>
        <v>630393.16</v>
      </c>
      <c r="GA112" s="4">
        <f>FQ112-FR112</f>
        <v>0</v>
      </c>
      <c r="GB112" s="4">
        <f>ROUND(SUMIF(AA83:AA110,"=45747932",GX83:GX110),2)</f>
        <v>0</v>
      </c>
      <c r="GC112" s="4">
        <f>ROUND(SUMIF(AA83:AA110,"=45747932",GY83:GY110),2)</f>
        <v>0</v>
      </c>
      <c r="GD112" s="4">
        <f>ROUND(SUMIF(AA83:AA110,"=45747932",GZ83:GZ110),2)</f>
        <v>0</v>
      </c>
      <c r="GE112" s="4">
        <f>ROUND(SUMIF(AA83:AA110,"=45747932",HD83:HD110),2)</f>
        <v>0</v>
      </c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>
        <v>0</v>
      </c>
    </row>
    <row r="114" spans="1:23" x14ac:dyDescent="0.2">
      <c r="A114" s="5">
        <v>50</v>
      </c>
      <c r="B114" s="5">
        <v>0</v>
      </c>
      <c r="C114" s="5">
        <v>0</v>
      </c>
      <c r="D114" s="5">
        <v>1</v>
      </c>
      <c r="E114" s="5">
        <v>201</v>
      </c>
      <c r="F114" s="5">
        <f>ROUND(Source!O112,O114)</f>
        <v>274775.74</v>
      </c>
      <c r="G114" s="5" t="s">
        <v>73</v>
      </c>
      <c r="H114" s="5" t="s">
        <v>74</v>
      </c>
      <c r="I114" s="5"/>
      <c r="J114" s="5"/>
      <c r="K114" s="5">
        <v>201</v>
      </c>
      <c r="L114" s="5">
        <v>1</v>
      </c>
      <c r="M114" s="5">
        <v>3</v>
      </c>
      <c r="N114" s="5" t="s">
        <v>3</v>
      </c>
      <c r="O114" s="5">
        <v>2</v>
      </c>
      <c r="P114" s="5">
        <f>ROUND(Source!DG112,O114)</f>
        <v>731449.28</v>
      </c>
      <c r="Q114" s="5"/>
      <c r="R114" s="5"/>
      <c r="S114" s="5"/>
      <c r="T114" s="5"/>
      <c r="U114" s="5"/>
      <c r="V114" s="5"/>
      <c r="W114" s="5"/>
    </row>
    <row r="115" spans="1:23" x14ac:dyDescent="0.2">
      <c r="A115" s="5">
        <v>50</v>
      </c>
      <c r="B115" s="5">
        <v>0</v>
      </c>
      <c r="C115" s="5">
        <v>0</v>
      </c>
      <c r="D115" s="5">
        <v>1</v>
      </c>
      <c r="E115" s="5">
        <v>202</v>
      </c>
      <c r="F115" s="5">
        <f>ROUND(Source!P112,O115)</f>
        <v>269084.11</v>
      </c>
      <c r="G115" s="5" t="s">
        <v>75</v>
      </c>
      <c r="H115" s="5" t="s">
        <v>76</v>
      </c>
      <c r="I115" s="5"/>
      <c r="J115" s="5"/>
      <c r="K115" s="5">
        <v>202</v>
      </c>
      <c r="L115" s="5">
        <v>2</v>
      </c>
      <c r="M115" s="5">
        <v>3</v>
      </c>
      <c r="N115" s="5" t="s">
        <v>3</v>
      </c>
      <c r="O115" s="5">
        <v>2</v>
      </c>
      <c r="P115" s="5">
        <f>ROUND(Source!DH112,O115)</f>
        <v>630393.16</v>
      </c>
      <c r="Q115" s="5"/>
      <c r="R115" s="5"/>
      <c r="S115" s="5"/>
      <c r="T115" s="5"/>
      <c r="U115" s="5"/>
      <c r="V115" s="5"/>
      <c r="W115" s="5"/>
    </row>
    <row r="116" spans="1:23" x14ac:dyDescent="0.2">
      <c r="A116" s="5">
        <v>50</v>
      </c>
      <c r="B116" s="5">
        <v>0</v>
      </c>
      <c r="C116" s="5">
        <v>0</v>
      </c>
      <c r="D116" s="5">
        <v>1</v>
      </c>
      <c r="E116" s="5">
        <v>222</v>
      </c>
      <c r="F116" s="5">
        <f>ROUND(Source!AO112,O116)</f>
        <v>0</v>
      </c>
      <c r="G116" s="5" t="s">
        <v>77</v>
      </c>
      <c r="H116" s="5" t="s">
        <v>78</v>
      </c>
      <c r="I116" s="5"/>
      <c r="J116" s="5"/>
      <c r="K116" s="5">
        <v>222</v>
      </c>
      <c r="L116" s="5">
        <v>3</v>
      </c>
      <c r="M116" s="5">
        <v>3</v>
      </c>
      <c r="N116" s="5" t="s">
        <v>3</v>
      </c>
      <c r="O116" s="5">
        <v>2</v>
      </c>
      <c r="P116" s="5">
        <f>ROUND(Source!EG112,O116)</f>
        <v>0</v>
      </c>
      <c r="Q116" s="5"/>
      <c r="R116" s="5"/>
      <c r="S116" s="5"/>
      <c r="T116" s="5"/>
      <c r="U116" s="5"/>
      <c r="V116" s="5"/>
      <c r="W116" s="5"/>
    </row>
    <row r="117" spans="1:23" x14ac:dyDescent="0.2">
      <c r="A117" s="5">
        <v>50</v>
      </c>
      <c r="B117" s="5">
        <v>0</v>
      </c>
      <c r="C117" s="5">
        <v>0</v>
      </c>
      <c r="D117" s="5">
        <v>1</v>
      </c>
      <c r="E117" s="5">
        <v>225</v>
      </c>
      <c r="F117" s="5">
        <f>ROUND(Source!AV112,O117)</f>
        <v>269084.11</v>
      </c>
      <c r="G117" s="5" t="s">
        <v>79</v>
      </c>
      <c r="H117" s="5" t="s">
        <v>80</v>
      </c>
      <c r="I117" s="5"/>
      <c r="J117" s="5"/>
      <c r="K117" s="5">
        <v>225</v>
      </c>
      <c r="L117" s="5">
        <v>4</v>
      </c>
      <c r="M117" s="5">
        <v>3</v>
      </c>
      <c r="N117" s="5" t="s">
        <v>3</v>
      </c>
      <c r="O117" s="5">
        <v>2</v>
      </c>
      <c r="P117" s="5">
        <f>ROUND(Source!EN112,O117)</f>
        <v>630393.16</v>
      </c>
      <c r="Q117" s="5"/>
      <c r="R117" s="5"/>
      <c r="S117" s="5"/>
      <c r="T117" s="5"/>
      <c r="U117" s="5"/>
      <c r="V117" s="5"/>
      <c r="W117" s="5"/>
    </row>
    <row r="118" spans="1:23" x14ac:dyDescent="0.2">
      <c r="A118" s="5">
        <v>50</v>
      </c>
      <c r="B118" s="5">
        <v>0</v>
      </c>
      <c r="C118" s="5">
        <v>0</v>
      </c>
      <c r="D118" s="5">
        <v>1</v>
      </c>
      <c r="E118" s="5">
        <v>226</v>
      </c>
      <c r="F118" s="5">
        <f>ROUND(Source!AW112,O118)</f>
        <v>269084.11</v>
      </c>
      <c r="G118" s="5" t="s">
        <v>81</v>
      </c>
      <c r="H118" s="5" t="s">
        <v>82</v>
      </c>
      <c r="I118" s="5"/>
      <c r="J118" s="5"/>
      <c r="K118" s="5">
        <v>226</v>
      </c>
      <c r="L118" s="5">
        <v>5</v>
      </c>
      <c r="M118" s="5">
        <v>3</v>
      </c>
      <c r="N118" s="5" t="s">
        <v>3</v>
      </c>
      <c r="O118" s="5">
        <v>2</v>
      </c>
      <c r="P118" s="5">
        <f>ROUND(Source!EO112,O118)</f>
        <v>630393.16</v>
      </c>
      <c r="Q118" s="5"/>
      <c r="R118" s="5"/>
      <c r="S118" s="5"/>
      <c r="T118" s="5"/>
      <c r="U118" s="5"/>
      <c r="V118" s="5"/>
      <c r="W118" s="5"/>
    </row>
    <row r="119" spans="1:23" x14ac:dyDescent="0.2">
      <c r="A119" s="5">
        <v>50</v>
      </c>
      <c r="B119" s="5">
        <v>0</v>
      </c>
      <c r="C119" s="5">
        <v>0</v>
      </c>
      <c r="D119" s="5">
        <v>1</v>
      </c>
      <c r="E119" s="5">
        <v>227</v>
      </c>
      <c r="F119" s="5">
        <f>ROUND(Source!AX112,O119)</f>
        <v>0</v>
      </c>
      <c r="G119" s="5" t="s">
        <v>83</v>
      </c>
      <c r="H119" s="5" t="s">
        <v>84</v>
      </c>
      <c r="I119" s="5"/>
      <c r="J119" s="5"/>
      <c r="K119" s="5">
        <v>227</v>
      </c>
      <c r="L119" s="5">
        <v>6</v>
      </c>
      <c r="M119" s="5">
        <v>3</v>
      </c>
      <c r="N119" s="5" t="s">
        <v>3</v>
      </c>
      <c r="O119" s="5">
        <v>2</v>
      </c>
      <c r="P119" s="5">
        <f>ROUND(Source!EP112,O119)</f>
        <v>0</v>
      </c>
      <c r="Q119" s="5"/>
      <c r="R119" s="5"/>
      <c r="S119" s="5"/>
      <c r="T119" s="5"/>
      <c r="U119" s="5"/>
      <c r="V119" s="5"/>
      <c r="W119" s="5"/>
    </row>
    <row r="120" spans="1:23" x14ac:dyDescent="0.2">
      <c r="A120" s="5">
        <v>50</v>
      </c>
      <c r="B120" s="5">
        <v>0</v>
      </c>
      <c r="C120" s="5">
        <v>0</v>
      </c>
      <c r="D120" s="5">
        <v>1</v>
      </c>
      <c r="E120" s="5">
        <v>228</v>
      </c>
      <c r="F120" s="5">
        <f>ROUND(Source!AY112,O120)</f>
        <v>269084.11</v>
      </c>
      <c r="G120" s="5" t="s">
        <v>85</v>
      </c>
      <c r="H120" s="5" t="s">
        <v>86</v>
      </c>
      <c r="I120" s="5"/>
      <c r="J120" s="5"/>
      <c r="K120" s="5">
        <v>228</v>
      </c>
      <c r="L120" s="5">
        <v>7</v>
      </c>
      <c r="M120" s="5">
        <v>3</v>
      </c>
      <c r="N120" s="5" t="s">
        <v>3</v>
      </c>
      <c r="O120" s="5">
        <v>2</v>
      </c>
      <c r="P120" s="5">
        <f>ROUND(Source!EQ112,O120)</f>
        <v>630393.16</v>
      </c>
      <c r="Q120" s="5"/>
      <c r="R120" s="5"/>
      <c r="S120" s="5"/>
      <c r="T120" s="5"/>
      <c r="U120" s="5"/>
      <c r="V120" s="5"/>
      <c r="W120" s="5"/>
    </row>
    <row r="121" spans="1:23" x14ac:dyDescent="0.2">
      <c r="A121" s="5">
        <v>50</v>
      </c>
      <c r="B121" s="5">
        <v>0</v>
      </c>
      <c r="C121" s="5">
        <v>0</v>
      </c>
      <c r="D121" s="5">
        <v>1</v>
      </c>
      <c r="E121" s="5">
        <v>216</v>
      </c>
      <c r="F121" s="5">
        <f>ROUND(Source!AP112,O121)</f>
        <v>0</v>
      </c>
      <c r="G121" s="5" t="s">
        <v>87</v>
      </c>
      <c r="H121" s="5" t="s">
        <v>88</v>
      </c>
      <c r="I121" s="5"/>
      <c r="J121" s="5"/>
      <c r="K121" s="5">
        <v>216</v>
      </c>
      <c r="L121" s="5">
        <v>8</v>
      </c>
      <c r="M121" s="5">
        <v>3</v>
      </c>
      <c r="N121" s="5" t="s">
        <v>3</v>
      </c>
      <c r="O121" s="5">
        <v>2</v>
      </c>
      <c r="P121" s="5">
        <f>ROUND(Source!EH112,O121)</f>
        <v>0</v>
      </c>
      <c r="Q121" s="5"/>
      <c r="R121" s="5"/>
      <c r="S121" s="5"/>
      <c r="T121" s="5"/>
      <c r="U121" s="5"/>
      <c r="V121" s="5"/>
      <c r="W121" s="5"/>
    </row>
    <row r="122" spans="1:23" x14ac:dyDescent="0.2">
      <c r="A122" s="5">
        <v>50</v>
      </c>
      <c r="B122" s="5">
        <v>0</v>
      </c>
      <c r="C122" s="5">
        <v>0</v>
      </c>
      <c r="D122" s="5">
        <v>1</v>
      </c>
      <c r="E122" s="5">
        <v>223</v>
      </c>
      <c r="F122" s="5">
        <f>ROUND(Source!AQ112,O122)</f>
        <v>0</v>
      </c>
      <c r="G122" s="5" t="s">
        <v>89</v>
      </c>
      <c r="H122" s="5" t="s">
        <v>90</v>
      </c>
      <c r="I122" s="5"/>
      <c r="J122" s="5"/>
      <c r="K122" s="5">
        <v>223</v>
      </c>
      <c r="L122" s="5">
        <v>9</v>
      </c>
      <c r="M122" s="5">
        <v>3</v>
      </c>
      <c r="N122" s="5" t="s">
        <v>3</v>
      </c>
      <c r="O122" s="5">
        <v>2</v>
      </c>
      <c r="P122" s="5">
        <f>ROUND(Source!EI112,O122)</f>
        <v>0</v>
      </c>
      <c r="Q122" s="5"/>
      <c r="R122" s="5"/>
      <c r="S122" s="5"/>
      <c r="T122" s="5"/>
      <c r="U122" s="5"/>
      <c r="V122" s="5"/>
      <c r="W122" s="5"/>
    </row>
    <row r="123" spans="1:23" x14ac:dyDescent="0.2">
      <c r="A123" s="5">
        <v>50</v>
      </c>
      <c r="B123" s="5">
        <v>0</v>
      </c>
      <c r="C123" s="5">
        <v>0</v>
      </c>
      <c r="D123" s="5">
        <v>1</v>
      </c>
      <c r="E123" s="5">
        <v>229</v>
      </c>
      <c r="F123" s="5">
        <f>ROUND(Source!AZ112,O123)</f>
        <v>0</v>
      </c>
      <c r="G123" s="5" t="s">
        <v>91</v>
      </c>
      <c r="H123" s="5" t="s">
        <v>92</v>
      </c>
      <c r="I123" s="5"/>
      <c r="J123" s="5"/>
      <c r="K123" s="5">
        <v>229</v>
      </c>
      <c r="L123" s="5">
        <v>10</v>
      </c>
      <c r="M123" s="5">
        <v>3</v>
      </c>
      <c r="N123" s="5" t="s">
        <v>3</v>
      </c>
      <c r="O123" s="5">
        <v>2</v>
      </c>
      <c r="P123" s="5">
        <f>ROUND(Source!ER112,O123)</f>
        <v>0</v>
      </c>
      <c r="Q123" s="5"/>
      <c r="R123" s="5"/>
      <c r="S123" s="5"/>
      <c r="T123" s="5"/>
      <c r="U123" s="5"/>
      <c r="V123" s="5"/>
      <c r="W123" s="5"/>
    </row>
    <row r="124" spans="1:23" x14ac:dyDescent="0.2">
      <c r="A124" s="5">
        <v>50</v>
      </c>
      <c r="B124" s="5">
        <v>0</v>
      </c>
      <c r="C124" s="5">
        <v>0</v>
      </c>
      <c r="D124" s="5">
        <v>1</v>
      </c>
      <c r="E124" s="5">
        <v>203</v>
      </c>
      <c r="F124" s="5">
        <f>ROUND(Source!Q112,O124)</f>
        <v>2679.13</v>
      </c>
      <c r="G124" s="5" t="s">
        <v>93</v>
      </c>
      <c r="H124" s="5" t="s">
        <v>94</v>
      </c>
      <c r="I124" s="5"/>
      <c r="J124" s="5"/>
      <c r="K124" s="5">
        <v>203</v>
      </c>
      <c r="L124" s="5">
        <v>11</v>
      </c>
      <c r="M124" s="5">
        <v>3</v>
      </c>
      <c r="N124" s="5" t="s">
        <v>3</v>
      </c>
      <c r="O124" s="5">
        <v>2</v>
      </c>
      <c r="P124" s="5">
        <f>ROUND(Source!DI112,O124)</f>
        <v>25351.99</v>
      </c>
      <c r="Q124" s="5"/>
      <c r="R124" s="5"/>
      <c r="S124" s="5"/>
      <c r="T124" s="5"/>
      <c r="U124" s="5"/>
      <c r="V124" s="5"/>
      <c r="W124" s="5"/>
    </row>
    <row r="125" spans="1:23" x14ac:dyDescent="0.2">
      <c r="A125" s="5">
        <v>50</v>
      </c>
      <c r="B125" s="5">
        <v>0</v>
      </c>
      <c r="C125" s="5">
        <v>0</v>
      </c>
      <c r="D125" s="5">
        <v>1</v>
      </c>
      <c r="E125" s="5">
        <v>231</v>
      </c>
      <c r="F125" s="5">
        <f>ROUND(Source!BB112,O125)</f>
        <v>0</v>
      </c>
      <c r="G125" s="5" t="s">
        <v>95</v>
      </c>
      <c r="H125" s="5" t="s">
        <v>96</v>
      </c>
      <c r="I125" s="5"/>
      <c r="J125" s="5"/>
      <c r="K125" s="5">
        <v>231</v>
      </c>
      <c r="L125" s="5">
        <v>12</v>
      </c>
      <c r="M125" s="5">
        <v>3</v>
      </c>
      <c r="N125" s="5" t="s">
        <v>3</v>
      </c>
      <c r="O125" s="5">
        <v>2</v>
      </c>
      <c r="P125" s="5">
        <f>ROUND(Source!ET112,O125)</f>
        <v>0</v>
      </c>
      <c r="Q125" s="5"/>
      <c r="R125" s="5"/>
      <c r="S125" s="5"/>
      <c r="T125" s="5"/>
      <c r="U125" s="5"/>
      <c r="V125" s="5"/>
      <c r="W125" s="5"/>
    </row>
    <row r="126" spans="1:23" x14ac:dyDescent="0.2">
      <c r="A126" s="5">
        <v>50</v>
      </c>
      <c r="B126" s="5">
        <v>0</v>
      </c>
      <c r="C126" s="5">
        <v>0</v>
      </c>
      <c r="D126" s="5">
        <v>1</v>
      </c>
      <c r="E126" s="5">
        <v>204</v>
      </c>
      <c r="F126" s="5">
        <f>ROUND(Source!R112,O126)</f>
        <v>66.38</v>
      </c>
      <c r="G126" s="5" t="s">
        <v>97</v>
      </c>
      <c r="H126" s="5" t="s">
        <v>98</v>
      </c>
      <c r="I126" s="5"/>
      <c r="J126" s="5"/>
      <c r="K126" s="5">
        <v>204</v>
      </c>
      <c r="L126" s="5">
        <v>13</v>
      </c>
      <c r="M126" s="5">
        <v>3</v>
      </c>
      <c r="N126" s="5" t="s">
        <v>3</v>
      </c>
      <c r="O126" s="5">
        <v>2</v>
      </c>
      <c r="P126" s="5">
        <f>ROUND(Source!DJ112,O126)</f>
        <v>1668.14</v>
      </c>
      <c r="Q126" s="5"/>
      <c r="R126" s="5"/>
      <c r="S126" s="5"/>
      <c r="T126" s="5"/>
      <c r="U126" s="5"/>
      <c r="V126" s="5"/>
      <c r="W126" s="5"/>
    </row>
    <row r="127" spans="1:23" x14ac:dyDescent="0.2">
      <c r="A127" s="5">
        <v>50</v>
      </c>
      <c r="B127" s="5">
        <v>0</v>
      </c>
      <c r="C127" s="5">
        <v>0</v>
      </c>
      <c r="D127" s="5">
        <v>1</v>
      </c>
      <c r="E127" s="5">
        <v>205</v>
      </c>
      <c r="F127" s="5">
        <f>ROUND(Source!S112,O127)</f>
        <v>3012.5</v>
      </c>
      <c r="G127" s="5" t="s">
        <v>99</v>
      </c>
      <c r="H127" s="5" t="s">
        <v>100</v>
      </c>
      <c r="I127" s="5"/>
      <c r="J127" s="5"/>
      <c r="K127" s="5">
        <v>205</v>
      </c>
      <c r="L127" s="5">
        <v>14</v>
      </c>
      <c r="M127" s="5">
        <v>3</v>
      </c>
      <c r="N127" s="5" t="s">
        <v>3</v>
      </c>
      <c r="O127" s="5">
        <v>2</v>
      </c>
      <c r="P127" s="5">
        <f>ROUND(Source!DK112,O127)</f>
        <v>75704.13</v>
      </c>
      <c r="Q127" s="5"/>
      <c r="R127" s="5"/>
      <c r="S127" s="5"/>
      <c r="T127" s="5"/>
      <c r="U127" s="5"/>
      <c r="V127" s="5"/>
      <c r="W127" s="5"/>
    </row>
    <row r="128" spans="1:23" x14ac:dyDescent="0.2">
      <c r="A128" s="5">
        <v>50</v>
      </c>
      <c r="B128" s="5">
        <v>0</v>
      </c>
      <c r="C128" s="5">
        <v>0</v>
      </c>
      <c r="D128" s="5">
        <v>1</v>
      </c>
      <c r="E128" s="5">
        <v>232</v>
      </c>
      <c r="F128" s="5">
        <f>ROUND(Source!BC112,O128)</f>
        <v>0</v>
      </c>
      <c r="G128" s="5" t="s">
        <v>101</v>
      </c>
      <c r="H128" s="5" t="s">
        <v>102</v>
      </c>
      <c r="I128" s="5"/>
      <c r="J128" s="5"/>
      <c r="K128" s="5">
        <v>232</v>
      </c>
      <c r="L128" s="5">
        <v>15</v>
      </c>
      <c r="M128" s="5">
        <v>3</v>
      </c>
      <c r="N128" s="5" t="s">
        <v>3</v>
      </c>
      <c r="O128" s="5">
        <v>2</v>
      </c>
      <c r="P128" s="5">
        <f>ROUND(Source!EU112,O128)</f>
        <v>0</v>
      </c>
      <c r="Q128" s="5"/>
      <c r="R128" s="5"/>
      <c r="S128" s="5"/>
      <c r="T128" s="5"/>
      <c r="U128" s="5"/>
      <c r="V128" s="5"/>
      <c r="W128" s="5"/>
    </row>
    <row r="129" spans="1:206" x14ac:dyDescent="0.2">
      <c r="A129" s="5">
        <v>50</v>
      </c>
      <c r="B129" s="5">
        <v>0</v>
      </c>
      <c r="C129" s="5">
        <v>0</v>
      </c>
      <c r="D129" s="5">
        <v>1</v>
      </c>
      <c r="E129" s="5">
        <v>214</v>
      </c>
      <c r="F129" s="5">
        <f>ROUND(Source!AS112,O129)</f>
        <v>279063.43</v>
      </c>
      <c r="G129" s="5" t="s">
        <v>103</v>
      </c>
      <c r="H129" s="5" t="s">
        <v>104</v>
      </c>
      <c r="I129" s="5"/>
      <c r="J129" s="5"/>
      <c r="K129" s="5">
        <v>214</v>
      </c>
      <c r="L129" s="5">
        <v>16</v>
      </c>
      <c r="M129" s="5">
        <v>3</v>
      </c>
      <c r="N129" s="5" t="s">
        <v>3</v>
      </c>
      <c r="O129" s="5">
        <v>2</v>
      </c>
      <c r="P129" s="5">
        <f>ROUND(Source!EK112,O129)</f>
        <v>826340.74</v>
      </c>
      <c r="Q129" s="5"/>
      <c r="R129" s="5"/>
      <c r="S129" s="5"/>
      <c r="T129" s="5"/>
      <c r="U129" s="5"/>
      <c r="V129" s="5"/>
      <c r="W129" s="5"/>
    </row>
    <row r="130" spans="1:206" x14ac:dyDescent="0.2">
      <c r="A130" s="5">
        <v>50</v>
      </c>
      <c r="B130" s="5">
        <v>0</v>
      </c>
      <c r="C130" s="5">
        <v>0</v>
      </c>
      <c r="D130" s="5">
        <v>1</v>
      </c>
      <c r="E130" s="5">
        <v>215</v>
      </c>
      <c r="F130" s="5">
        <f>ROUND(Source!AT112,O130)</f>
        <v>0</v>
      </c>
      <c r="G130" s="5" t="s">
        <v>105</v>
      </c>
      <c r="H130" s="5" t="s">
        <v>106</v>
      </c>
      <c r="I130" s="5"/>
      <c r="J130" s="5"/>
      <c r="K130" s="5">
        <v>215</v>
      </c>
      <c r="L130" s="5">
        <v>17</v>
      </c>
      <c r="M130" s="5">
        <v>3</v>
      </c>
      <c r="N130" s="5" t="s">
        <v>3</v>
      </c>
      <c r="O130" s="5">
        <v>2</v>
      </c>
      <c r="P130" s="5">
        <f>ROUND(Source!EL112,O130)</f>
        <v>0</v>
      </c>
      <c r="Q130" s="5"/>
      <c r="R130" s="5"/>
      <c r="S130" s="5"/>
      <c r="T130" s="5"/>
      <c r="U130" s="5"/>
      <c r="V130" s="5"/>
      <c r="W130" s="5"/>
    </row>
    <row r="131" spans="1:206" x14ac:dyDescent="0.2">
      <c r="A131" s="5">
        <v>50</v>
      </c>
      <c r="B131" s="5">
        <v>0</v>
      </c>
      <c r="C131" s="5">
        <v>0</v>
      </c>
      <c r="D131" s="5">
        <v>1</v>
      </c>
      <c r="E131" s="5">
        <v>217</v>
      </c>
      <c r="F131" s="5">
        <f>ROUND(Source!AU112,O131)</f>
        <v>2205.41</v>
      </c>
      <c r="G131" s="5" t="s">
        <v>107</v>
      </c>
      <c r="H131" s="5" t="s">
        <v>108</v>
      </c>
      <c r="I131" s="5"/>
      <c r="J131" s="5"/>
      <c r="K131" s="5">
        <v>217</v>
      </c>
      <c r="L131" s="5">
        <v>18</v>
      </c>
      <c r="M131" s="5">
        <v>3</v>
      </c>
      <c r="N131" s="5" t="s">
        <v>3</v>
      </c>
      <c r="O131" s="5">
        <v>2</v>
      </c>
      <c r="P131" s="5">
        <f>ROUND(Source!EM112,O131)</f>
        <v>21119.34</v>
      </c>
      <c r="Q131" s="5"/>
      <c r="R131" s="5"/>
      <c r="S131" s="5"/>
      <c r="T131" s="5"/>
      <c r="U131" s="5"/>
      <c r="V131" s="5"/>
      <c r="W131" s="5"/>
    </row>
    <row r="132" spans="1:206" x14ac:dyDescent="0.2">
      <c r="A132" s="5">
        <v>50</v>
      </c>
      <c r="B132" s="5">
        <v>0</v>
      </c>
      <c r="C132" s="5">
        <v>0</v>
      </c>
      <c r="D132" s="5">
        <v>1</v>
      </c>
      <c r="E132" s="5">
        <v>230</v>
      </c>
      <c r="F132" s="5">
        <f>ROUND(Source!BA112,O132)</f>
        <v>0</v>
      </c>
      <c r="G132" s="5" t="s">
        <v>109</v>
      </c>
      <c r="H132" s="5" t="s">
        <v>110</v>
      </c>
      <c r="I132" s="5"/>
      <c r="J132" s="5"/>
      <c r="K132" s="5">
        <v>230</v>
      </c>
      <c r="L132" s="5">
        <v>19</v>
      </c>
      <c r="M132" s="5">
        <v>3</v>
      </c>
      <c r="N132" s="5" t="s">
        <v>3</v>
      </c>
      <c r="O132" s="5">
        <v>2</v>
      </c>
      <c r="P132" s="5">
        <f>ROUND(Source!ES112,O132)</f>
        <v>0</v>
      </c>
      <c r="Q132" s="5"/>
      <c r="R132" s="5"/>
      <c r="S132" s="5"/>
      <c r="T132" s="5"/>
      <c r="U132" s="5"/>
      <c r="V132" s="5"/>
      <c r="W132" s="5"/>
    </row>
    <row r="133" spans="1:206" x14ac:dyDescent="0.2">
      <c r="A133" s="5">
        <v>50</v>
      </c>
      <c r="B133" s="5">
        <v>0</v>
      </c>
      <c r="C133" s="5">
        <v>0</v>
      </c>
      <c r="D133" s="5">
        <v>1</v>
      </c>
      <c r="E133" s="5">
        <v>206</v>
      </c>
      <c r="F133" s="5">
        <f>ROUND(Source!T112,O133)</f>
        <v>0</v>
      </c>
      <c r="G133" s="5" t="s">
        <v>111</v>
      </c>
      <c r="H133" s="5" t="s">
        <v>112</v>
      </c>
      <c r="I133" s="5"/>
      <c r="J133" s="5"/>
      <c r="K133" s="5">
        <v>206</v>
      </c>
      <c r="L133" s="5">
        <v>20</v>
      </c>
      <c r="M133" s="5">
        <v>3</v>
      </c>
      <c r="N133" s="5" t="s">
        <v>3</v>
      </c>
      <c r="O133" s="5">
        <v>2</v>
      </c>
      <c r="P133" s="5">
        <f>ROUND(Source!DL112,O133)</f>
        <v>0</v>
      </c>
      <c r="Q133" s="5"/>
      <c r="R133" s="5"/>
      <c r="S133" s="5"/>
      <c r="T133" s="5"/>
      <c r="U133" s="5"/>
      <c r="V133" s="5"/>
      <c r="W133" s="5"/>
    </row>
    <row r="134" spans="1:206" x14ac:dyDescent="0.2">
      <c r="A134" s="5">
        <v>50</v>
      </c>
      <c r="B134" s="5">
        <v>0</v>
      </c>
      <c r="C134" s="5">
        <v>0</v>
      </c>
      <c r="D134" s="5">
        <v>1</v>
      </c>
      <c r="E134" s="5">
        <v>207</v>
      </c>
      <c r="F134" s="5">
        <f>Source!U112</f>
        <v>262.7554068</v>
      </c>
      <c r="G134" s="5" t="s">
        <v>113</v>
      </c>
      <c r="H134" s="5" t="s">
        <v>114</v>
      </c>
      <c r="I134" s="5"/>
      <c r="J134" s="5"/>
      <c r="K134" s="5">
        <v>207</v>
      </c>
      <c r="L134" s="5">
        <v>21</v>
      </c>
      <c r="M134" s="5">
        <v>3</v>
      </c>
      <c r="N134" s="5" t="s">
        <v>3</v>
      </c>
      <c r="O134" s="5">
        <v>-1</v>
      </c>
      <c r="P134" s="5">
        <f>Source!DM112</f>
        <v>262.7554068</v>
      </c>
      <c r="Q134" s="5"/>
      <c r="R134" s="5"/>
      <c r="S134" s="5"/>
      <c r="T134" s="5"/>
      <c r="U134" s="5"/>
      <c r="V134" s="5"/>
      <c r="W134" s="5"/>
    </row>
    <row r="135" spans="1:206" x14ac:dyDescent="0.2">
      <c r="A135" s="5">
        <v>50</v>
      </c>
      <c r="B135" s="5">
        <v>0</v>
      </c>
      <c r="C135" s="5">
        <v>0</v>
      </c>
      <c r="D135" s="5">
        <v>1</v>
      </c>
      <c r="E135" s="5">
        <v>208</v>
      </c>
      <c r="F135" s="5">
        <f>Source!V112</f>
        <v>0</v>
      </c>
      <c r="G135" s="5" t="s">
        <v>115</v>
      </c>
      <c r="H135" s="5" t="s">
        <v>116</v>
      </c>
      <c r="I135" s="5"/>
      <c r="J135" s="5"/>
      <c r="K135" s="5">
        <v>208</v>
      </c>
      <c r="L135" s="5">
        <v>22</v>
      </c>
      <c r="M135" s="5">
        <v>3</v>
      </c>
      <c r="N135" s="5" t="s">
        <v>3</v>
      </c>
      <c r="O135" s="5">
        <v>-1</v>
      </c>
      <c r="P135" s="5">
        <f>Source!DN112</f>
        <v>0</v>
      </c>
      <c r="Q135" s="5"/>
      <c r="R135" s="5"/>
      <c r="S135" s="5"/>
      <c r="T135" s="5"/>
      <c r="U135" s="5"/>
      <c r="V135" s="5"/>
      <c r="W135" s="5"/>
    </row>
    <row r="136" spans="1:206" x14ac:dyDescent="0.2">
      <c r="A136" s="5">
        <v>50</v>
      </c>
      <c r="B136" s="5">
        <v>0</v>
      </c>
      <c r="C136" s="5">
        <v>0</v>
      </c>
      <c r="D136" s="5">
        <v>1</v>
      </c>
      <c r="E136" s="5">
        <v>209</v>
      </c>
      <c r="F136" s="5">
        <f>ROUND(Source!W112,O136)</f>
        <v>0</v>
      </c>
      <c r="G136" s="5" t="s">
        <v>117</v>
      </c>
      <c r="H136" s="5" t="s">
        <v>118</v>
      </c>
      <c r="I136" s="5"/>
      <c r="J136" s="5"/>
      <c r="K136" s="5">
        <v>209</v>
      </c>
      <c r="L136" s="5">
        <v>23</v>
      </c>
      <c r="M136" s="5">
        <v>3</v>
      </c>
      <c r="N136" s="5" t="s">
        <v>3</v>
      </c>
      <c r="O136" s="5">
        <v>2</v>
      </c>
      <c r="P136" s="5">
        <f>ROUND(Source!DO112,O136)</f>
        <v>0</v>
      </c>
      <c r="Q136" s="5"/>
      <c r="R136" s="5"/>
      <c r="S136" s="5"/>
      <c r="T136" s="5"/>
      <c r="U136" s="5"/>
      <c r="V136" s="5"/>
      <c r="W136" s="5"/>
    </row>
    <row r="137" spans="1:206" x14ac:dyDescent="0.2">
      <c r="A137" s="5">
        <v>50</v>
      </c>
      <c r="B137" s="5">
        <v>0</v>
      </c>
      <c r="C137" s="5">
        <v>0</v>
      </c>
      <c r="D137" s="5">
        <v>1</v>
      </c>
      <c r="E137" s="5">
        <v>233</v>
      </c>
      <c r="F137" s="5">
        <f>ROUND(Source!BD112,O137)</f>
        <v>0</v>
      </c>
      <c r="G137" s="5" t="s">
        <v>119</v>
      </c>
      <c r="H137" s="5" t="s">
        <v>120</v>
      </c>
      <c r="I137" s="5"/>
      <c r="J137" s="5"/>
      <c r="K137" s="5">
        <v>233</v>
      </c>
      <c r="L137" s="5">
        <v>24</v>
      </c>
      <c r="M137" s="5">
        <v>3</v>
      </c>
      <c r="N137" s="5" t="s">
        <v>3</v>
      </c>
      <c r="O137" s="5">
        <v>2</v>
      </c>
      <c r="P137" s="5">
        <f>ROUND(Source!EV112,O137)</f>
        <v>0</v>
      </c>
      <c r="Q137" s="5"/>
      <c r="R137" s="5"/>
      <c r="S137" s="5"/>
      <c r="T137" s="5"/>
      <c r="U137" s="5"/>
      <c r="V137" s="5"/>
      <c r="W137" s="5"/>
    </row>
    <row r="138" spans="1:206" x14ac:dyDescent="0.2">
      <c r="A138" s="5">
        <v>50</v>
      </c>
      <c r="B138" s="5">
        <v>0</v>
      </c>
      <c r="C138" s="5">
        <v>0</v>
      </c>
      <c r="D138" s="5">
        <v>1</v>
      </c>
      <c r="E138" s="5">
        <v>210</v>
      </c>
      <c r="F138" s="5">
        <f>ROUND(Source!X112,O138)</f>
        <v>3857.52</v>
      </c>
      <c r="G138" s="5" t="s">
        <v>121</v>
      </c>
      <c r="H138" s="5" t="s">
        <v>122</v>
      </c>
      <c r="I138" s="5"/>
      <c r="J138" s="5"/>
      <c r="K138" s="5">
        <v>210</v>
      </c>
      <c r="L138" s="5">
        <v>25</v>
      </c>
      <c r="M138" s="5">
        <v>3</v>
      </c>
      <c r="N138" s="5" t="s">
        <v>3</v>
      </c>
      <c r="O138" s="5">
        <v>2</v>
      </c>
      <c r="P138" s="5">
        <f>ROUND(Source!DP112,O138)</f>
        <v>78736.649999999994</v>
      </c>
      <c r="Q138" s="5"/>
      <c r="R138" s="5"/>
      <c r="S138" s="5"/>
      <c r="T138" s="5"/>
      <c r="U138" s="5"/>
      <c r="V138" s="5"/>
      <c r="W138" s="5"/>
    </row>
    <row r="139" spans="1:206" x14ac:dyDescent="0.2">
      <c r="A139" s="5">
        <v>50</v>
      </c>
      <c r="B139" s="5">
        <v>0</v>
      </c>
      <c r="C139" s="5">
        <v>0</v>
      </c>
      <c r="D139" s="5">
        <v>1</v>
      </c>
      <c r="E139" s="5">
        <v>211</v>
      </c>
      <c r="F139" s="5">
        <f>ROUND(Source!Y112,O139)</f>
        <v>2519.4</v>
      </c>
      <c r="G139" s="5" t="s">
        <v>123</v>
      </c>
      <c r="H139" s="5" t="s">
        <v>124</v>
      </c>
      <c r="I139" s="5"/>
      <c r="J139" s="5"/>
      <c r="K139" s="5">
        <v>211</v>
      </c>
      <c r="L139" s="5">
        <v>26</v>
      </c>
      <c r="M139" s="5">
        <v>3</v>
      </c>
      <c r="N139" s="5" t="s">
        <v>3</v>
      </c>
      <c r="O139" s="5">
        <v>2</v>
      </c>
      <c r="P139" s="5">
        <f>ROUND(Source!DQ112,O139)</f>
        <v>34655.18</v>
      </c>
      <c r="Q139" s="5"/>
      <c r="R139" s="5"/>
      <c r="S139" s="5"/>
      <c r="T139" s="5"/>
      <c r="U139" s="5"/>
      <c r="V139" s="5"/>
      <c r="W139" s="5"/>
    </row>
    <row r="140" spans="1:206" x14ac:dyDescent="0.2">
      <c r="A140" s="5">
        <v>50</v>
      </c>
      <c r="B140" s="5">
        <v>0</v>
      </c>
      <c r="C140" s="5">
        <v>0</v>
      </c>
      <c r="D140" s="5">
        <v>1</v>
      </c>
      <c r="E140" s="5">
        <v>224</v>
      </c>
      <c r="F140" s="5">
        <f>ROUND(Source!AR112,O140)</f>
        <v>281268.84000000003</v>
      </c>
      <c r="G140" s="5" t="s">
        <v>125</v>
      </c>
      <c r="H140" s="5" t="s">
        <v>126</v>
      </c>
      <c r="I140" s="5"/>
      <c r="J140" s="5"/>
      <c r="K140" s="5">
        <v>224</v>
      </c>
      <c r="L140" s="5">
        <v>27</v>
      </c>
      <c r="M140" s="5">
        <v>3</v>
      </c>
      <c r="N140" s="5" t="s">
        <v>3</v>
      </c>
      <c r="O140" s="5">
        <v>2</v>
      </c>
      <c r="P140" s="5">
        <f>ROUND(Source!EJ112,O140)</f>
        <v>847460.08</v>
      </c>
      <c r="Q140" s="5"/>
      <c r="R140" s="5"/>
      <c r="S140" s="5"/>
      <c r="T140" s="5"/>
      <c r="U140" s="5"/>
      <c r="V140" s="5"/>
      <c r="W140" s="5"/>
    </row>
    <row r="142" spans="1:206" x14ac:dyDescent="0.2">
      <c r="A142" s="1">
        <v>4</v>
      </c>
      <c r="B142" s="1">
        <v>1</v>
      </c>
      <c r="C142" s="1"/>
      <c r="D142" s="1">
        <f>ROW(A173)</f>
        <v>173</v>
      </c>
      <c r="E142" s="1"/>
      <c r="F142" s="1" t="s">
        <v>13</v>
      </c>
      <c r="G142" s="1" t="s">
        <v>189</v>
      </c>
      <c r="H142" s="1" t="s">
        <v>3</v>
      </c>
      <c r="I142" s="1">
        <v>0</v>
      </c>
      <c r="J142" s="1"/>
      <c r="K142" s="1">
        <v>0</v>
      </c>
      <c r="L142" s="1"/>
      <c r="M142" s="1"/>
      <c r="N142" s="1"/>
      <c r="O142" s="1"/>
      <c r="P142" s="1"/>
      <c r="Q142" s="1"/>
      <c r="R142" s="1"/>
      <c r="S142" s="1"/>
      <c r="T142" s="1"/>
      <c r="U142" s="1" t="s">
        <v>3</v>
      </c>
      <c r="V142" s="1">
        <v>0</v>
      </c>
      <c r="W142" s="1"/>
      <c r="X142" s="1"/>
      <c r="Y142" s="1"/>
      <c r="Z142" s="1"/>
      <c r="AA142" s="1"/>
      <c r="AB142" s="1" t="s">
        <v>3</v>
      </c>
      <c r="AC142" s="1" t="s">
        <v>3</v>
      </c>
      <c r="AD142" s="1" t="s">
        <v>3</v>
      </c>
      <c r="AE142" s="1" t="s">
        <v>3</v>
      </c>
      <c r="AF142" s="1" t="s">
        <v>3</v>
      </c>
      <c r="AG142" s="1" t="s">
        <v>3</v>
      </c>
      <c r="AH142" s="1"/>
      <c r="AI142" s="1"/>
      <c r="AJ142" s="1"/>
      <c r="AK142" s="1"/>
      <c r="AL142" s="1"/>
      <c r="AM142" s="1"/>
      <c r="AN142" s="1"/>
      <c r="AO142" s="1"/>
      <c r="AP142" s="1" t="s">
        <v>3</v>
      </c>
      <c r="AQ142" s="1" t="s">
        <v>3</v>
      </c>
      <c r="AR142" s="1" t="s">
        <v>3</v>
      </c>
      <c r="AS142" s="1"/>
      <c r="AT142" s="1"/>
      <c r="AU142" s="1"/>
      <c r="AV142" s="1"/>
      <c r="AW142" s="1"/>
      <c r="AX142" s="1"/>
      <c r="AY142" s="1"/>
      <c r="AZ142" s="1" t="s">
        <v>3</v>
      </c>
      <c r="BA142" s="1"/>
      <c r="BB142" s="1" t="s">
        <v>3</v>
      </c>
      <c r="BC142" s="1" t="s">
        <v>3</v>
      </c>
      <c r="BD142" s="1" t="s">
        <v>3</v>
      </c>
      <c r="BE142" s="1" t="s">
        <v>3</v>
      </c>
      <c r="BF142" s="1" t="s">
        <v>3</v>
      </c>
      <c r="BG142" s="1" t="s">
        <v>3</v>
      </c>
      <c r="BH142" s="1" t="s">
        <v>3</v>
      </c>
      <c r="BI142" s="1" t="s">
        <v>3</v>
      </c>
      <c r="BJ142" s="1" t="s">
        <v>3</v>
      </c>
      <c r="BK142" s="1" t="s">
        <v>3</v>
      </c>
      <c r="BL142" s="1" t="s">
        <v>3</v>
      </c>
      <c r="BM142" s="1" t="s">
        <v>3</v>
      </c>
      <c r="BN142" s="1" t="s">
        <v>3</v>
      </c>
      <c r="BO142" s="1" t="s">
        <v>3</v>
      </c>
      <c r="BP142" s="1" t="s">
        <v>3</v>
      </c>
      <c r="BQ142" s="1"/>
      <c r="BR142" s="1"/>
      <c r="BS142" s="1"/>
      <c r="BT142" s="1"/>
      <c r="BU142" s="1"/>
      <c r="BV142" s="1"/>
      <c r="BW142" s="1"/>
      <c r="BX142" s="1">
        <v>0</v>
      </c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>
        <v>0</v>
      </c>
    </row>
    <row r="144" spans="1:206" x14ac:dyDescent="0.2">
      <c r="A144" s="3">
        <v>52</v>
      </c>
      <c r="B144" s="3">
        <f t="shared" ref="B144:G144" si="121">B173</f>
        <v>1</v>
      </c>
      <c r="C144" s="3">
        <f t="shared" si="121"/>
        <v>4</v>
      </c>
      <c r="D144" s="3">
        <f t="shared" si="121"/>
        <v>142</v>
      </c>
      <c r="E144" s="3">
        <f t="shared" si="121"/>
        <v>0</v>
      </c>
      <c r="F144" s="3" t="str">
        <f t="shared" si="121"/>
        <v>Новый раздел</v>
      </c>
      <c r="G144" s="3" t="str">
        <f t="shared" si="121"/>
        <v>Устройство газона 15 см</v>
      </c>
      <c r="H144" s="3"/>
      <c r="I144" s="3"/>
      <c r="J144" s="3"/>
      <c r="K144" s="3"/>
      <c r="L144" s="3"/>
      <c r="M144" s="3"/>
      <c r="N144" s="3"/>
      <c r="O144" s="3">
        <f t="shared" ref="O144:AT144" si="122">O173</f>
        <v>8353.16</v>
      </c>
      <c r="P144" s="3">
        <f t="shared" si="122"/>
        <v>4809.63</v>
      </c>
      <c r="Q144" s="3">
        <f t="shared" si="122"/>
        <v>2794.92</v>
      </c>
      <c r="R144" s="3">
        <f t="shared" si="122"/>
        <v>38.79</v>
      </c>
      <c r="S144" s="3">
        <f t="shared" si="122"/>
        <v>748.61</v>
      </c>
      <c r="T144" s="3">
        <f t="shared" si="122"/>
        <v>0</v>
      </c>
      <c r="U144" s="3">
        <f t="shared" si="122"/>
        <v>71.133052800000002</v>
      </c>
      <c r="V144" s="3">
        <f t="shared" si="122"/>
        <v>0</v>
      </c>
      <c r="W144" s="3">
        <f t="shared" si="122"/>
        <v>0</v>
      </c>
      <c r="X144" s="3">
        <f t="shared" si="122"/>
        <v>1371.09</v>
      </c>
      <c r="Y144" s="3">
        <f t="shared" si="122"/>
        <v>747.68</v>
      </c>
      <c r="Z144" s="3">
        <f t="shared" si="122"/>
        <v>0</v>
      </c>
      <c r="AA144" s="3">
        <f t="shared" si="122"/>
        <v>0</v>
      </c>
      <c r="AB144" s="3">
        <f t="shared" si="122"/>
        <v>8353.16</v>
      </c>
      <c r="AC144" s="3">
        <f t="shared" si="122"/>
        <v>4809.63</v>
      </c>
      <c r="AD144" s="3">
        <f t="shared" si="122"/>
        <v>2794.92</v>
      </c>
      <c r="AE144" s="3">
        <f t="shared" si="122"/>
        <v>38.79</v>
      </c>
      <c r="AF144" s="3">
        <f t="shared" si="122"/>
        <v>748.61</v>
      </c>
      <c r="AG144" s="3">
        <f t="shared" si="122"/>
        <v>0</v>
      </c>
      <c r="AH144" s="3">
        <f t="shared" si="122"/>
        <v>71.133052800000002</v>
      </c>
      <c r="AI144" s="3">
        <f t="shared" si="122"/>
        <v>0</v>
      </c>
      <c r="AJ144" s="3">
        <f t="shared" si="122"/>
        <v>0</v>
      </c>
      <c r="AK144" s="3">
        <f t="shared" si="122"/>
        <v>1371.09</v>
      </c>
      <c r="AL144" s="3">
        <f t="shared" si="122"/>
        <v>747.68</v>
      </c>
      <c r="AM144" s="3">
        <f t="shared" si="122"/>
        <v>0</v>
      </c>
      <c r="AN144" s="3">
        <f t="shared" si="122"/>
        <v>0</v>
      </c>
      <c r="AO144" s="3">
        <f t="shared" si="122"/>
        <v>0</v>
      </c>
      <c r="AP144" s="3">
        <f t="shared" si="122"/>
        <v>0</v>
      </c>
      <c r="AQ144" s="3">
        <f t="shared" si="122"/>
        <v>0</v>
      </c>
      <c r="AR144" s="3">
        <f t="shared" si="122"/>
        <v>10539.82</v>
      </c>
      <c r="AS144" s="3">
        <f t="shared" si="122"/>
        <v>7983.12</v>
      </c>
      <c r="AT144" s="3">
        <f t="shared" si="122"/>
        <v>0</v>
      </c>
      <c r="AU144" s="3">
        <f t="shared" ref="AU144:BZ144" si="123">AU173</f>
        <v>2556.6999999999998</v>
      </c>
      <c r="AV144" s="3">
        <f t="shared" si="123"/>
        <v>4809.63</v>
      </c>
      <c r="AW144" s="3">
        <f t="shared" si="123"/>
        <v>4809.63</v>
      </c>
      <c r="AX144" s="3">
        <f t="shared" si="123"/>
        <v>0</v>
      </c>
      <c r="AY144" s="3">
        <f t="shared" si="123"/>
        <v>4809.63</v>
      </c>
      <c r="AZ144" s="3">
        <f t="shared" si="123"/>
        <v>0</v>
      </c>
      <c r="BA144" s="3">
        <f t="shared" si="123"/>
        <v>0</v>
      </c>
      <c r="BB144" s="3">
        <f t="shared" si="123"/>
        <v>0</v>
      </c>
      <c r="BC144" s="3">
        <f t="shared" si="123"/>
        <v>0</v>
      </c>
      <c r="BD144" s="3">
        <f t="shared" si="123"/>
        <v>0</v>
      </c>
      <c r="BE144" s="3">
        <f t="shared" si="123"/>
        <v>0</v>
      </c>
      <c r="BF144" s="3">
        <f t="shared" si="123"/>
        <v>0</v>
      </c>
      <c r="BG144" s="3">
        <f t="shared" si="123"/>
        <v>0</v>
      </c>
      <c r="BH144" s="3">
        <f t="shared" si="123"/>
        <v>0</v>
      </c>
      <c r="BI144" s="3">
        <f t="shared" si="123"/>
        <v>0</v>
      </c>
      <c r="BJ144" s="3">
        <f t="shared" si="123"/>
        <v>0</v>
      </c>
      <c r="BK144" s="3">
        <f t="shared" si="123"/>
        <v>0</v>
      </c>
      <c r="BL144" s="3">
        <f t="shared" si="123"/>
        <v>0</v>
      </c>
      <c r="BM144" s="3">
        <f t="shared" si="123"/>
        <v>0</v>
      </c>
      <c r="BN144" s="3">
        <f t="shared" si="123"/>
        <v>0</v>
      </c>
      <c r="BO144" s="3">
        <f t="shared" si="123"/>
        <v>0</v>
      </c>
      <c r="BP144" s="3">
        <f t="shared" si="123"/>
        <v>0</v>
      </c>
      <c r="BQ144" s="3">
        <f t="shared" si="123"/>
        <v>0</v>
      </c>
      <c r="BR144" s="3">
        <f t="shared" si="123"/>
        <v>0</v>
      </c>
      <c r="BS144" s="3">
        <f t="shared" si="123"/>
        <v>0</v>
      </c>
      <c r="BT144" s="3">
        <f t="shared" si="123"/>
        <v>0</v>
      </c>
      <c r="BU144" s="3">
        <f t="shared" si="123"/>
        <v>0</v>
      </c>
      <c r="BV144" s="3">
        <f t="shared" si="123"/>
        <v>0</v>
      </c>
      <c r="BW144" s="3">
        <f t="shared" si="123"/>
        <v>0</v>
      </c>
      <c r="BX144" s="3">
        <f t="shared" si="123"/>
        <v>0</v>
      </c>
      <c r="BY144" s="3">
        <f t="shared" si="123"/>
        <v>0</v>
      </c>
      <c r="BZ144" s="3">
        <f t="shared" si="123"/>
        <v>0</v>
      </c>
      <c r="CA144" s="3">
        <f t="shared" ref="CA144:DF144" si="124">CA173</f>
        <v>10539.82</v>
      </c>
      <c r="CB144" s="3">
        <f t="shared" si="124"/>
        <v>7983.12</v>
      </c>
      <c r="CC144" s="3">
        <f t="shared" si="124"/>
        <v>0</v>
      </c>
      <c r="CD144" s="3">
        <f t="shared" si="124"/>
        <v>2556.6999999999998</v>
      </c>
      <c r="CE144" s="3">
        <f t="shared" si="124"/>
        <v>4809.63</v>
      </c>
      <c r="CF144" s="3">
        <f t="shared" si="124"/>
        <v>4809.63</v>
      </c>
      <c r="CG144" s="3">
        <f t="shared" si="124"/>
        <v>0</v>
      </c>
      <c r="CH144" s="3">
        <f t="shared" si="124"/>
        <v>4809.63</v>
      </c>
      <c r="CI144" s="3">
        <f t="shared" si="124"/>
        <v>0</v>
      </c>
      <c r="CJ144" s="3">
        <f t="shared" si="124"/>
        <v>0</v>
      </c>
      <c r="CK144" s="3">
        <f t="shared" si="124"/>
        <v>0</v>
      </c>
      <c r="CL144" s="3">
        <f t="shared" si="124"/>
        <v>0</v>
      </c>
      <c r="CM144" s="3">
        <f t="shared" si="124"/>
        <v>0</v>
      </c>
      <c r="CN144" s="3">
        <f t="shared" si="124"/>
        <v>0</v>
      </c>
      <c r="CO144" s="3">
        <f t="shared" si="124"/>
        <v>0</v>
      </c>
      <c r="CP144" s="3">
        <f t="shared" si="124"/>
        <v>0</v>
      </c>
      <c r="CQ144" s="3">
        <f t="shared" si="124"/>
        <v>0</v>
      </c>
      <c r="CR144" s="3">
        <f t="shared" si="124"/>
        <v>0</v>
      </c>
      <c r="CS144" s="3">
        <f t="shared" si="124"/>
        <v>0</v>
      </c>
      <c r="CT144" s="3">
        <f t="shared" si="124"/>
        <v>0</v>
      </c>
      <c r="CU144" s="3">
        <f t="shared" si="124"/>
        <v>0</v>
      </c>
      <c r="CV144" s="3">
        <f t="shared" si="124"/>
        <v>0</v>
      </c>
      <c r="CW144" s="3">
        <f t="shared" si="124"/>
        <v>0</v>
      </c>
      <c r="CX144" s="3">
        <f t="shared" si="124"/>
        <v>0</v>
      </c>
      <c r="CY144" s="3">
        <f t="shared" si="124"/>
        <v>0</v>
      </c>
      <c r="CZ144" s="3">
        <f t="shared" si="124"/>
        <v>0</v>
      </c>
      <c r="DA144" s="3">
        <f t="shared" si="124"/>
        <v>0</v>
      </c>
      <c r="DB144" s="3">
        <f t="shared" si="124"/>
        <v>0</v>
      </c>
      <c r="DC144" s="3">
        <f t="shared" si="124"/>
        <v>0</v>
      </c>
      <c r="DD144" s="3">
        <f t="shared" si="124"/>
        <v>0</v>
      </c>
      <c r="DE144" s="3">
        <f t="shared" si="124"/>
        <v>0</v>
      </c>
      <c r="DF144" s="3">
        <f t="shared" si="124"/>
        <v>0</v>
      </c>
      <c r="DG144" s="4">
        <f t="shared" ref="DG144:EL144" si="125">DG173</f>
        <v>75705.94</v>
      </c>
      <c r="DH144" s="4">
        <f t="shared" si="125"/>
        <v>28434.62</v>
      </c>
      <c r="DI144" s="4">
        <f t="shared" si="125"/>
        <v>28458.76</v>
      </c>
      <c r="DJ144" s="4">
        <f t="shared" si="125"/>
        <v>972.02</v>
      </c>
      <c r="DK144" s="4">
        <f t="shared" si="125"/>
        <v>18812.560000000001</v>
      </c>
      <c r="DL144" s="4">
        <f t="shared" si="125"/>
        <v>0</v>
      </c>
      <c r="DM144" s="4">
        <f t="shared" si="125"/>
        <v>71.133052800000002</v>
      </c>
      <c r="DN144" s="4">
        <f t="shared" si="125"/>
        <v>0</v>
      </c>
      <c r="DO144" s="4">
        <f t="shared" si="125"/>
        <v>0</v>
      </c>
      <c r="DP144" s="4">
        <f t="shared" si="125"/>
        <v>19044.63</v>
      </c>
      <c r="DQ144" s="4">
        <f t="shared" si="125"/>
        <v>8798.8700000000008</v>
      </c>
      <c r="DR144" s="4">
        <f t="shared" si="125"/>
        <v>0</v>
      </c>
      <c r="DS144" s="4">
        <f t="shared" si="125"/>
        <v>0</v>
      </c>
      <c r="DT144" s="4">
        <f t="shared" si="125"/>
        <v>75705.94</v>
      </c>
      <c r="DU144" s="4">
        <f t="shared" si="125"/>
        <v>28434.62</v>
      </c>
      <c r="DV144" s="4">
        <f t="shared" si="125"/>
        <v>28458.76</v>
      </c>
      <c r="DW144" s="4">
        <f t="shared" si="125"/>
        <v>972.02</v>
      </c>
      <c r="DX144" s="4">
        <f t="shared" si="125"/>
        <v>18812.560000000001</v>
      </c>
      <c r="DY144" s="4">
        <f t="shared" si="125"/>
        <v>0</v>
      </c>
      <c r="DZ144" s="4">
        <f t="shared" si="125"/>
        <v>71.133052800000002</v>
      </c>
      <c r="EA144" s="4">
        <f t="shared" si="125"/>
        <v>0</v>
      </c>
      <c r="EB144" s="4">
        <f t="shared" si="125"/>
        <v>0</v>
      </c>
      <c r="EC144" s="4">
        <f t="shared" si="125"/>
        <v>19044.63</v>
      </c>
      <c r="ED144" s="4">
        <f t="shared" si="125"/>
        <v>8798.8700000000008</v>
      </c>
      <c r="EE144" s="4">
        <f t="shared" si="125"/>
        <v>0</v>
      </c>
      <c r="EF144" s="4">
        <f t="shared" si="125"/>
        <v>0</v>
      </c>
      <c r="EG144" s="4">
        <f t="shared" si="125"/>
        <v>0</v>
      </c>
      <c r="EH144" s="4">
        <f t="shared" si="125"/>
        <v>0</v>
      </c>
      <c r="EI144" s="4">
        <f t="shared" si="125"/>
        <v>0</v>
      </c>
      <c r="EJ144" s="4">
        <f t="shared" si="125"/>
        <v>105075.51</v>
      </c>
      <c r="EK144" s="4">
        <f t="shared" si="125"/>
        <v>78972.490000000005</v>
      </c>
      <c r="EL144" s="4">
        <f t="shared" si="125"/>
        <v>0</v>
      </c>
      <c r="EM144" s="4">
        <f t="shared" ref="EM144:FR144" si="126">EM173</f>
        <v>26103.02</v>
      </c>
      <c r="EN144" s="4">
        <f t="shared" si="126"/>
        <v>28434.62</v>
      </c>
      <c r="EO144" s="4">
        <f t="shared" si="126"/>
        <v>28434.62</v>
      </c>
      <c r="EP144" s="4">
        <f t="shared" si="126"/>
        <v>0</v>
      </c>
      <c r="EQ144" s="4">
        <f t="shared" si="126"/>
        <v>28434.62</v>
      </c>
      <c r="ER144" s="4">
        <f t="shared" si="126"/>
        <v>0</v>
      </c>
      <c r="ES144" s="4">
        <f t="shared" si="126"/>
        <v>0</v>
      </c>
      <c r="ET144" s="4">
        <f t="shared" si="126"/>
        <v>0</v>
      </c>
      <c r="EU144" s="4">
        <f t="shared" si="126"/>
        <v>0</v>
      </c>
      <c r="EV144" s="4">
        <f t="shared" si="126"/>
        <v>0</v>
      </c>
      <c r="EW144" s="4">
        <f t="shared" si="126"/>
        <v>0</v>
      </c>
      <c r="EX144" s="4">
        <f t="shared" si="126"/>
        <v>0</v>
      </c>
      <c r="EY144" s="4">
        <f t="shared" si="126"/>
        <v>0</v>
      </c>
      <c r="EZ144" s="4">
        <f t="shared" si="126"/>
        <v>0</v>
      </c>
      <c r="FA144" s="4">
        <f t="shared" si="126"/>
        <v>0</v>
      </c>
      <c r="FB144" s="4">
        <f t="shared" si="126"/>
        <v>0</v>
      </c>
      <c r="FC144" s="4">
        <f t="shared" si="126"/>
        <v>0</v>
      </c>
      <c r="FD144" s="4">
        <f t="shared" si="126"/>
        <v>0</v>
      </c>
      <c r="FE144" s="4">
        <f t="shared" si="126"/>
        <v>0</v>
      </c>
      <c r="FF144" s="4">
        <f t="shared" si="126"/>
        <v>0</v>
      </c>
      <c r="FG144" s="4">
        <f t="shared" si="126"/>
        <v>0</v>
      </c>
      <c r="FH144" s="4">
        <f t="shared" si="126"/>
        <v>0</v>
      </c>
      <c r="FI144" s="4">
        <f t="shared" si="126"/>
        <v>0</v>
      </c>
      <c r="FJ144" s="4">
        <f t="shared" si="126"/>
        <v>0</v>
      </c>
      <c r="FK144" s="4">
        <f t="shared" si="126"/>
        <v>0</v>
      </c>
      <c r="FL144" s="4">
        <f t="shared" si="126"/>
        <v>0</v>
      </c>
      <c r="FM144" s="4">
        <f t="shared" si="126"/>
        <v>0</v>
      </c>
      <c r="FN144" s="4">
        <f t="shared" si="126"/>
        <v>0</v>
      </c>
      <c r="FO144" s="4">
        <f t="shared" si="126"/>
        <v>0</v>
      </c>
      <c r="FP144" s="4">
        <f t="shared" si="126"/>
        <v>0</v>
      </c>
      <c r="FQ144" s="4">
        <f t="shared" si="126"/>
        <v>0</v>
      </c>
      <c r="FR144" s="4">
        <f t="shared" si="126"/>
        <v>0</v>
      </c>
      <c r="FS144" s="4">
        <f t="shared" ref="FS144:GX144" si="127">FS173</f>
        <v>105075.51</v>
      </c>
      <c r="FT144" s="4">
        <f t="shared" si="127"/>
        <v>78972.490000000005</v>
      </c>
      <c r="FU144" s="4">
        <f t="shared" si="127"/>
        <v>0</v>
      </c>
      <c r="FV144" s="4">
        <f t="shared" si="127"/>
        <v>26103.02</v>
      </c>
      <c r="FW144" s="4">
        <f t="shared" si="127"/>
        <v>28434.62</v>
      </c>
      <c r="FX144" s="4">
        <f t="shared" si="127"/>
        <v>28434.62</v>
      </c>
      <c r="FY144" s="4">
        <f t="shared" si="127"/>
        <v>0</v>
      </c>
      <c r="FZ144" s="4">
        <f t="shared" si="127"/>
        <v>28434.62</v>
      </c>
      <c r="GA144" s="4">
        <f t="shared" si="127"/>
        <v>0</v>
      </c>
      <c r="GB144" s="4">
        <f t="shared" si="127"/>
        <v>0</v>
      </c>
      <c r="GC144" s="4">
        <f t="shared" si="127"/>
        <v>0</v>
      </c>
      <c r="GD144" s="4">
        <f t="shared" si="127"/>
        <v>0</v>
      </c>
      <c r="GE144" s="4">
        <f t="shared" si="127"/>
        <v>0</v>
      </c>
      <c r="GF144" s="4">
        <f t="shared" si="127"/>
        <v>0</v>
      </c>
      <c r="GG144" s="4">
        <f t="shared" si="127"/>
        <v>0</v>
      </c>
      <c r="GH144" s="4">
        <f t="shared" si="127"/>
        <v>0</v>
      </c>
      <c r="GI144" s="4">
        <f t="shared" si="127"/>
        <v>0</v>
      </c>
      <c r="GJ144" s="4">
        <f t="shared" si="127"/>
        <v>0</v>
      </c>
      <c r="GK144" s="4">
        <f t="shared" si="127"/>
        <v>0</v>
      </c>
      <c r="GL144" s="4">
        <f t="shared" si="127"/>
        <v>0</v>
      </c>
      <c r="GM144" s="4">
        <f t="shared" si="127"/>
        <v>0</v>
      </c>
      <c r="GN144" s="4">
        <f t="shared" si="127"/>
        <v>0</v>
      </c>
      <c r="GO144" s="4">
        <f t="shared" si="127"/>
        <v>0</v>
      </c>
      <c r="GP144" s="4">
        <f t="shared" si="127"/>
        <v>0</v>
      </c>
      <c r="GQ144" s="4">
        <f t="shared" si="127"/>
        <v>0</v>
      </c>
      <c r="GR144" s="4">
        <f t="shared" si="127"/>
        <v>0</v>
      </c>
      <c r="GS144" s="4">
        <f t="shared" si="127"/>
        <v>0</v>
      </c>
      <c r="GT144" s="4">
        <f t="shared" si="127"/>
        <v>0</v>
      </c>
      <c r="GU144" s="4">
        <f t="shared" si="127"/>
        <v>0</v>
      </c>
      <c r="GV144" s="4">
        <f t="shared" si="127"/>
        <v>0</v>
      </c>
      <c r="GW144" s="4">
        <f t="shared" si="127"/>
        <v>0</v>
      </c>
      <c r="GX144" s="4">
        <f t="shared" si="127"/>
        <v>0</v>
      </c>
    </row>
    <row r="146" spans="1:255" x14ac:dyDescent="0.2">
      <c r="A146" s="2">
        <v>17</v>
      </c>
      <c r="B146" s="2">
        <v>1</v>
      </c>
      <c r="C146" s="2"/>
      <c r="D146" s="2"/>
      <c r="E146" s="2" t="s">
        <v>190</v>
      </c>
      <c r="F146" s="2" t="s">
        <v>191</v>
      </c>
      <c r="G146" s="2" t="s">
        <v>192</v>
      </c>
      <c r="H146" s="2" t="s">
        <v>17</v>
      </c>
      <c r="I146" s="2">
        <v>192</v>
      </c>
      <c r="J146" s="2">
        <v>0</v>
      </c>
      <c r="K146" s="2"/>
      <c r="L146" s="2"/>
      <c r="M146" s="2"/>
      <c r="N146" s="2"/>
      <c r="O146" s="2">
        <f t="shared" ref="O146:O171" si="128">ROUND(CP146,2)</f>
        <v>0</v>
      </c>
      <c r="P146" s="2">
        <f t="shared" ref="P146:P171" si="129">ROUND((ROUND((AC146*AW146*I146),2)*BC146),2)</f>
        <v>0</v>
      </c>
      <c r="Q146" s="2">
        <f t="shared" ref="Q146:Q171" si="130">(ROUND((ROUND(((ET146)*AV146*I146),2)*BB146),2)+ROUND((ROUND(((AE146-(EU146))*AV146*I146),2)*BS146),2))</f>
        <v>0</v>
      </c>
      <c r="R146" s="2">
        <f t="shared" ref="R146:R171" si="131">ROUND((ROUND((AE146*AV146*I146),2)*BS146),2)</f>
        <v>0</v>
      </c>
      <c r="S146" s="2">
        <f t="shared" ref="S146:S171" si="132">ROUND((ROUND((AF146*AV146*I146),2)*BA146),2)</f>
        <v>0</v>
      </c>
      <c r="T146" s="2">
        <f t="shared" ref="T146:T171" si="133">ROUND(CU146*I146,2)</f>
        <v>0</v>
      </c>
      <c r="U146" s="2">
        <f t="shared" ref="U146:U171" si="134">CV146*I146</f>
        <v>0</v>
      </c>
      <c r="V146" s="2">
        <f t="shared" ref="V146:V171" si="135">CW146*I146</f>
        <v>0</v>
      </c>
      <c r="W146" s="2">
        <f t="shared" ref="W146:W171" si="136">ROUND(CX146*I146,2)</f>
        <v>0</v>
      </c>
      <c r="X146" s="2">
        <f t="shared" ref="X146:X171" si="137">ROUND(CY146,2)</f>
        <v>0</v>
      </c>
      <c r="Y146" s="2">
        <f t="shared" ref="Y146:Y171" si="138">ROUND(CZ146,2)</f>
        <v>0</v>
      </c>
      <c r="Z146" s="2"/>
      <c r="AA146" s="2">
        <v>45748053</v>
      </c>
      <c r="AB146" s="2">
        <f t="shared" ref="AB146:AB171" si="139">ROUND((AC146+AD146+AF146),6)</f>
        <v>0</v>
      </c>
      <c r="AC146" s="2">
        <f t="shared" ref="AC146:AC171" si="140">ROUND((ES146),6)</f>
        <v>0</v>
      </c>
      <c r="AD146" s="2">
        <f t="shared" ref="AD146:AD171" si="141">ROUND((((ET146)-(EU146))+AE146),6)</f>
        <v>0</v>
      </c>
      <c r="AE146" s="2">
        <f t="shared" ref="AE146:AE171" si="142">ROUND((EU146),6)</f>
        <v>0</v>
      </c>
      <c r="AF146" s="2">
        <f t="shared" ref="AF146:AF171" si="143">ROUND((EV146),6)</f>
        <v>0</v>
      </c>
      <c r="AG146" s="2">
        <f t="shared" ref="AG146:AG171" si="144">ROUND((AP146),6)</f>
        <v>0</v>
      </c>
      <c r="AH146" s="2">
        <f t="shared" ref="AH146:AH171" si="145">(EW146)</f>
        <v>0</v>
      </c>
      <c r="AI146" s="2">
        <f t="shared" ref="AI146:AI171" si="146">(EX146)</f>
        <v>0</v>
      </c>
      <c r="AJ146" s="2">
        <f t="shared" ref="AJ146:AJ171" si="147">(AS146)</f>
        <v>0</v>
      </c>
      <c r="AK146" s="2">
        <v>0</v>
      </c>
      <c r="AL146" s="2">
        <v>0</v>
      </c>
      <c r="AM146" s="2">
        <v>0</v>
      </c>
      <c r="AN146" s="2">
        <v>0</v>
      </c>
      <c r="AO146" s="2">
        <v>0</v>
      </c>
      <c r="AP146" s="2">
        <v>0</v>
      </c>
      <c r="AQ146" s="2">
        <v>0</v>
      </c>
      <c r="AR146" s="2">
        <v>0</v>
      </c>
      <c r="AS146" s="2">
        <v>0</v>
      </c>
      <c r="AT146" s="2">
        <v>0</v>
      </c>
      <c r="AU146" s="2">
        <v>0</v>
      </c>
      <c r="AV146" s="2">
        <v>1</v>
      </c>
      <c r="AW146" s="2">
        <v>1</v>
      </c>
      <c r="AX146" s="2"/>
      <c r="AY146" s="2"/>
      <c r="AZ146" s="2">
        <v>1</v>
      </c>
      <c r="BA146" s="2">
        <v>1</v>
      </c>
      <c r="BB146" s="2">
        <v>1</v>
      </c>
      <c r="BC146" s="2">
        <v>1</v>
      </c>
      <c r="BD146" s="2" t="s">
        <v>3</v>
      </c>
      <c r="BE146" s="2" t="s">
        <v>3</v>
      </c>
      <c r="BF146" s="2" t="s">
        <v>3</v>
      </c>
      <c r="BG146" s="2" t="s">
        <v>3</v>
      </c>
      <c r="BH146" s="2">
        <v>3</v>
      </c>
      <c r="BI146" s="2">
        <v>1</v>
      </c>
      <c r="BJ146" s="2" t="s">
        <v>3</v>
      </c>
      <c r="BK146" s="2"/>
      <c r="BL146" s="2"/>
      <c r="BM146" s="2">
        <v>400002</v>
      </c>
      <c r="BN146" s="2">
        <v>0</v>
      </c>
      <c r="BO146" s="2" t="s">
        <v>3</v>
      </c>
      <c r="BP146" s="2">
        <v>0</v>
      </c>
      <c r="BQ146" s="2">
        <v>202</v>
      </c>
      <c r="BR146" s="2">
        <v>0</v>
      </c>
      <c r="BS146" s="2">
        <v>1</v>
      </c>
      <c r="BT146" s="2">
        <v>1</v>
      </c>
      <c r="BU146" s="2">
        <v>1</v>
      </c>
      <c r="BV146" s="2">
        <v>1</v>
      </c>
      <c r="BW146" s="2">
        <v>1</v>
      </c>
      <c r="BX146" s="2">
        <v>1</v>
      </c>
      <c r="BY146" s="2" t="s">
        <v>3</v>
      </c>
      <c r="BZ146" s="2">
        <v>0</v>
      </c>
      <c r="CA146" s="2">
        <v>0</v>
      </c>
      <c r="CB146" s="2"/>
      <c r="CC146" s="2"/>
      <c r="CD146" s="2"/>
      <c r="CE146" s="2">
        <v>30</v>
      </c>
      <c r="CF146" s="2">
        <v>0</v>
      </c>
      <c r="CG146" s="2">
        <v>0</v>
      </c>
      <c r="CH146" s="2"/>
      <c r="CI146" s="2"/>
      <c r="CJ146" s="2"/>
      <c r="CK146" s="2"/>
      <c r="CL146" s="2"/>
      <c r="CM146" s="2">
        <v>0</v>
      </c>
      <c r="CN146" s="2" t="s">
        <v>3</v>
      </c>
      <c r="CO146" s="2">
        <v>0</v>
      </c>
      <c r="CP146" s="2">
        <f t="shared" ref="CP146:CP171" si="148">(P146+Q146+S146)</f>
        <v>0</v>
      </c>
      <c r="CQ146" s="2">
        <f t="shared" ref="CQ146:CQ171" si="149">ROUND((ROUND((AC146*AW146*1),2)*BC146),2)</f>
        <v>0</v>
      </c>
      <c r="CR146" s="2">
        <f t="shared" ref="CR146:CR171" si="150">(ROUND((ROUND(((ET146)*AV146*1),2)*BB146),2)+ROUND((ROUND(((AE146-(EU146))*AV146*1),2)*BS146),2))</f>
        <v>0</v>
      </c>
      <c r="CS146" s="2">
        <f t="shared" ref="CS146:CS171" si="151">ROUND((ROUND((AE146*AV146*1),2)*BS146),2)</f>
        <v>0</v>
      </c>
      <c r="CT146" s="2">
        <f t="shared" ref="CT146:CT171" si="152">ROUND((ROUND((AF146*AV146*1),2)*BA146),2)</f>
        <v>0</v>
      </c>
      <c r="CU146" s="2">
        <f t="shared" ref="CU146:CU171" si="153">AG146</f>
        <v>0</v>
      </c>
      <c r="CV146" s="2">
        <f t="shared" ref="CV146:CV171" si="154">(AH146*AV146)</f>
        <v>0</v>
      </c>
      <c r="CW146" s="2">
        <f t="shared" ref="CW146:CW171" si="155">AI146</f>
        <v>0</v>
      </c>
      <c r="CX146" s="2">
        <f t="shared" ref="CX146:CX171" si="156">AJ146</f>
        <v>0</v>
      </c>
      <c r="CY146" s="2">
        <f>((S146*BZ146)/100)</f>
        <v>0</v>
      </c>
      <c r="CZ146" s="2">
        <f>((S146*CA146)/100)</f>
        <v>0</v>
      </c>
      <c r="DA146" s="2"/>
      <c r="DB146" s="2"/>
      <c r="DC146" s="2" t="s">
        <v>3</v>
      </c>
      <c r="DD146" s="2" t="s">
        <v>3</v>
      </c>
      <c r="DE146" s="2" t="s">
        <v>3</v>
      </c>
      <c r="DF146" s="2" t="s">
        <v>3</v>
      </c>
      <c r="DG146" s="2" t="s">
        <v>3</v>
      </c>
      <c r="DH146" s="2" t="s">
        <v>3</v>
      </c>
      <c r="DI146" s="2" t="s">
        <v>3</v>
      </c>
      <c r="DJ146" s="2" t="s">
        <v>3</v>
      </c>
      <c r="DK146" s="2" t="s">
        <v>3</v>
      </c>
      <c r="DL146" s="2" t="s">
        <v>3</v>
      </c>
      <c r="DM146" s="2" t="s">
        <v>3</v>
      </c>
      <c r="DN146" s="2">
        <v>0</v>
      </c>
      <c r="DO146" s="2">
        <v>0</v>
      </c>
      <c r="DP146" s="2">
        <v>1</v>
      </c>
      <c r="DQ146" s="2">
        <v>1</v>
      </c>
      <c r="DR146" s="2"/>
      <c r="DS146" s="2"/>
      <c r="DT146" s="2"/>
      <c r="DU146" s="2">
        <v>1005</v>
      </c>
      <c r="DV146" s="2" t="s">
        <v>17</v>
      </c>
      <c r="DW146" s="2" t="s">
        <v>17</v>
      </c>
      <c r="DX146" s="2">
        <v>1</v>
      </c>
      <c r="DY146" s="2"/>
      <c r="DZ146" s="2"/>
      <c r="EA146" s="2"/>
      <c r="EB146" s="2"/>
      <c r="EC146" s="2"/>
      <c r="ED146" s="2"/>
      <c r="EE146" s="2">
        <v>45708427</v>
      </c>
      <c r="EF146" s="2">
        <v>202</v>
      </c>
      <c r="EG146" s="2" t="s">
        <v>193</v>
      </c>
      <c r="EH146" s="2">
        <v>0</v>
      </c>
      <c r="EI146" s="2" t="s">
        <v>3</v>
      </c>
      <c r="EJ146" s="2">
        <v>1</v>
      </c>
      <c r="EK146" s="2">
        <v>400002</v>
      </c>
      <c r="EL146" s="2" t="s">
        <v>194</v>
      </c>
      <c r="EM146" s="2" t="s">
        <v>193</v>
      </c>
      <c r="EN146" s="2"/>
      <c r="EO146" s="2" t="s">
        <v>3</v>
      </c>
      <c r="EP146" s="2"/>
      <c r="EQ146" s="2">
        <v>0</v>
      </c>
      <c r="ER146" s="2">
        <v>0</v>
      </c>
      <c r="ES146" s="2">
        <v>0</v>
      </c>
      <c r="ET146" s="2">
        <v>0</v>
      </c>
      <c r="EU146" s="2">
        <v>0</v>
      </c>
      <c r="EV146" s="2">
        <v>0</v>
      </c>
      <c r="EW146" s="2">
        <v>0</v>
      </c>
      <c r="EX146" s="2">
        <v>0</v>
      </c>
      <c r="EY146" s="2">
        <v>0</v>
      </c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>
        <v>0</v>
      </c>
      <c r="FR146" s="2">
        <f t="shared" ref="FR146:FR171" si="157">ROUND(IF(AND(BH146=3,BI146=3),P146,0),2)</f>
        <v>0</v>
      </c>
      <c r="FS146" s="2">
        <v>0</v>
      </c>
      <c r="FT146" s="2"/>
      <c r="FU146" s="2"/>
      <c r="FV146" s="2"/>
      <c r="FW146" s="2"/>
      <c r="FX146" s="2">
        <v>0</v>
      </c>
      <c r="FY146" s="2">
        <v>0</v>
      </c>
      <c r="FZ146" s="2"/>
      <c r="GA146" s="2" t="s">
        <v>3</v>
      </c>
      <c r="GB146" s="2"/>
      <c r="GC146" s="2"/>
      <c r="GD146" s="2">
        <v>0</v>
      </c>
      <c r="GE146" s="2"/>
      <c r="GF146" s="2">
        <v>296851765</v>
      </c>
      <c r="GG146" s="2">
        <v>2</v>
      </c>
      <c r="GH146" s="2">
        <v>0</v>
      </c>
      <c r="GI146" s="2">
        <v>-2</v>
      </c>
      <c r="GJ146" s="2">
        <v>0</v>
      </c>
      <c r="GK146" s="2">
        <f>ROUND(R146*(R12)/100,2)</f>
        <v>0</v>
      </c>
      <c r="GL146" s="2">
        <f t="shared" ref="GL146:GL171" si="158">ROUND(IF(AND(BH146=3,BI146=3,FS146&lt;&gt;0),P146,0),2)</f>
        <v>0</v>
      </c>
      <c r="GM146" s="2">
        <f t="shared" ref="GM146:GM155" si="159">ROUND(O146+X146+Y146+GK146,2)+GX146</f>
        <v>0</v>
      </c>
      <c r="GN146" s="2">
        <f t="shared" ref="GN146:GN155" si="160">IF(OR(BI146=0,BI146=1),ROUND(O146+X146+Y146+GK146,2),0)</f>
        <v>0</v>
      </c>
      <c r="GO146" s="2">
        <f t="shared" ref="GO146:GO155" si="161">IF(BI146=2,ROUND(O146+X146+Y146+GK146,2),0)</f>
        <v>0</v>
      </c>
      <c r="GP146" s="2">
        <f t="shared" ref="GP146:GP155" si="162">IF(BI146=4,ROUND(O146+X146+Y146+GK146,2)+GX146,0)</f>
        <v>0</v>
      </c>
      <c r="GQ146" s="2"/>
      <c r="GR146" s="2">
        <v>0</v>
      </c>
      <c r="GS146" s="2">
        <v>0</v>
      </c>
      <c r="GT146" s="2">
        <v>0</v>
      </c>
      <c r="GU146" s="2" t="s">
        <v>3</v>
      </c>
      <c r="GV146" s="2">
        <f t="shared" ref="GV146:GV171" si="163">ROUND((GT146),6)</f>
        <v>0</v>
      </c>
      <c r="GW146" s="2">
        <v>1</v>
      </c>
      <c r="GX146" s="2">
        <f t="shared" ref="GX146:GX171" si="164">ROUND(HC146*I146,2)</f>
        <v>0</v>
      </c>
      <c r="GY146" s="2"/>
      <c r="GZ146" s="2"/>
      <c r="HA146" s="2">
        <v>0</v>
      </c>
      <c r="HB146" s="2">
        <v>0</v>
      </c>
      <c r="HC146" s="2">
        <f t="shared" ref="HC146:HC171" si="165">GV146*GW146</f>
        <v>0</v>
      </c>
      <c r="HD146" s="2"/>
      <c r="HE146" s="2" t="s">
        <v>3</v>
      </c>
      <c r="HF146" s="2" t="s">
        <v>3</v>
      </c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>
        <v>0</v>
      </c>
      <c r="IL146" s="2"/>
      <c r="IM146" s="2"/>
      <c r="IN146" s="2"/>
      <c r="IO146" s="2"/>
      <c r="IP146" s="2"/>
      <c r="IQ146" s="2"/>
      <c r="IR146" s="2"/>
      <c r="IS146" s="2"/>
      <c r="IT146" s="2"/>
      <c r="IU146" s="2"/>
    </row>
    <row r="147" spans="1:255" x14ac:dyDescent="0.2">
      <c r="A147">
        <v>17</v>
      </c>
      <c r="B147">
        <v>1</v>
      </c>
      <c r="E147" t="s">
        <v>190</v>
      </c>
      <c r="F147" t="s">
        <v>191</v>
      </c>
      <c r="G147" t="s">
        <v>192</v>
      </c>
      <c r="H147" t="s">
        <v>17</v>
      </c>
      <c r="I147">
        <v>192</v>
      </c>
      <c r="J147">
        <v>0</v>
      </c>
      <c r="O147">
        <f t="shared" si="128"/>
        <v>0</v>
      </c>
      <c r="P147">
        <f t="shared" si="129"/>
        <v>0</v>
      </c>
      <c r="Q147">
        <f t="shared" si="130"/>
        <v>0</v>
      </c>
      <c r="R147">
        <f t="shared" si="131"/>
        <v>0</v>
      </c>
      <c r="S147">
        <f t="shared" si="132"/>
        <v>0</v>
      </c>
      <c r="T147">
        <f t="shared" si="133"/>
        <v>0</v>
      </c>
      <c r="U147">
        <f t="shared" si="134"/>
        <v>0</v>
      </c>
      <c r="V147">
        <f t="shared" si="135"/>
        <v>0</v>
      </c>
      <c r="W147">
        <f t="shared" si="136"/>
        <v>0</v>
      </c>
      <c r="X147">
        <f t="shared" si="137"/>
        <v>0</v>
      </c>
      <c r="Y147">
        <f t="shared" si="138"/>
        <v>0</v>
      </c>
      <c r="AA147">
        <v>45747932</v>
      </c>
      <c r="AB147">
        <f t="shared" si="139"/>
        <v>0</v>
      </c>
      <c r="AC147">
        <f t="shared" si="140"/>
        <v>0</v>
      </c>
      <c r="AD147">
        <f t="shared" si="141"/>
        <v>0</v>
      </c>
      <c r="AE147">
        <f t="shared" si="142"/>
        <v>0</v>
      </c>
      <c r="AF147">
        <f t="shared" si="143"/>
        <v>0</v>
      </c>
      <c r="AG147">
        <f t="shared" si="144"/>
        <v>0</v>
      </c>
      <c r="AH147">
        <f t="shared" si="145"/>
        <v>0</v>
      </c>
      <c r="AI147">
        <f t="shared" si="146"/>
        <v>0</v>
      </c>
      <c r="AJ147">
        <f t="shared" si="147"/>
        <v>0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  <c r="AS147">
        <v>0</v>
      </c>
      <c r="AT147">
        <v>0</v>
      </c>
      <c r="AU147">
        <v>0</v>
      </c>
      <c r="AV147">
        <v>1</v>
      </c>
      <c r="AW147">
        <v>1</v>
      </c>
      <c r="AZ147">
        <v>1</v>
      </c>
      <c r="BA147">
        <v>1</v>
      </c>
      <c r="BB147">
        <v>1</v>
      </c>
      <c r="BC147">
        <v>5.65</v>
      </c>
      <c r="BD147" t="s">
        <v>3</v>
      </c>
      <c r="BE147" t="s">
        <v>3</v>
      </c>
      <c r="BF147" t="s">
        <v>3</v>
      </c>
      <c r="BG147" t="s">
        <v>3</v>
      </c>
      <c r="BH147">
        <v>3</v>
      </c>
      <c r="BI147">
        <v>1</v>
      </c>
      <c r="BJ147" t="s">
        <v>3</v>
      </c>
      <c r="BM147">
        <v>400002</v>
      </c>
      <c r="BN147">
        <v>0</v>
      </c>
      <c r="BO147" t="s">
        <v>3</v>
      </c>
      <c r="BP147">
        <v>0</v>
      </c>
      <c r="BQ147">
        <v>202</v>
      </c>
      <c r="BR147">
        <v>0</v>
      </c>
      <c r="BS147">
        <v>1</v>
      </c>
      <c r="BT147">
        <v>1</v>
      </c>
      <c r="BU147">
        <v>1</v>
      </c>
      <c r="BV147">
        <v>1</v>
      </c>
      <c r="BW147">
        <v>1</v>
      </c>
      <c r="BX147">
        <v>1</v>
      </c>
      <c r="BY147" t="s">
        <v>3</v>
      </c>
      <c r="BZ147">
        <v>0</v>
      </c>
      <c r="CA147">
        <v>0</v>
      </c>
      <c r="CE147">
        <v>30</v>
      </c>
      <c r="CF147">
        <v>0</v>
      </c>
      <c r="CG147">
        <v>0</v>
      </c>
      <c r="CM147">
        <v>0</v>
      </c>
      <c r="CN147" t="s">
        <v>3</v>
      </c>
      <c r="CO147">
        <v>0</v>
      </c>
      <c r="CP147">
        <f t="shared" si="148"/>
        <v>0</v>
      </c>
      <c r="CQ147">
        <f t="shared" si="149"/>
        <v>0</v>
      </c>
      <c r="CR147">
        <f t="shared" si="150"/>
        <v>0</v>
      </c>
      <c r="CS147">
        <f t="shared" si="151"/>
        <v>0</v>
      </c>
      <c r="CT147">
        <f t="shared" si="152"/>
        <v>0</v>
      </c>
      <c r="CU147">
        <f t="shared" si="153"/>
        <v>0</v>
      </c>
      <c r="CV147">
        <f t="shared" si="154"/>
        <v>0</v>
      </c>
      <c r="CW147">
        <f t="shared" si="155"/>
        <v>0</v>
      </c>
      <c r="CX147">
        <f t="shared" si="156"/>
        <v>0</v>
      </c>
      <c r="CY147">
        <f>S147*(BZ147/100)</f>
        <v>0</v>
      </c>
      <c r="CZ147">
        <f>S147*(CA147/100)</f>
        <v>0</v>
      </c>
      <c r="DC147" t="s">
        <v>3</v>
      </c>
      <c r="DD147" t="s">
        <v>3</v>
      </c>
      <c r="DE147" t="s">
        <v>3</v>
      </c>
      <c r="DF147" t="s">
        <v>3</v>
      </c>
      <c r="DG147" t="s">
        <v>3</v>
      </c>
      <c r="DH147" t="s">
        <v>3</v>
      </c>
      <c r="DI147" t="s">
        <v>3</v>
      </c>
      <c r="DJ147" t="s">
        <v>3</v>
      </c>
      <c r="DK147" t="s">
        <v>3</v>
      </c>
      <c r="DL147" t="s">
        <v>3</v>
      </c>
      <c r="DM147" t="s">
        <v>3</v>
      </c>
      <c r="DN147">
        <v>0</v>
      </c>
      <c r="DO147">
        <v>0</v>
      </c>
      <c r="DP147">
        <v>1</v>
      </c>
      <c r="DQ147">
        <v>1</v>
      </c>
      <c r="DU147">
        <v>1005</v>
      </c>
      <c r="DV147" t="s">
        <v>17</v>
      </c>
      <c r="DW147" t="s">
        <v>17</v>
      </c>
      <c r="DX147">
        <v>1</v>
      </c>
      <c r="EE147">
        <v>45708427</v>
      </c>
      <c r="EF147">
        <v>202</v>
      </c>
      <c r="EG147" t="s">
        <v>193</v>
      </c>
      <c r="EH147">
        <v>0</v>
      </c>
      <c r="EI147" t="s">
        <v>3</v>
      </c>
      <c r="EJ147">
        <v>1</v>
      </c>
      <c r="EK147">
        <v>400002</v>
      </c>
      <c r="EL147" t="s">
        <v>194</v>
      </c>
      <c r="EM147" t="s">
        <v>193</v>
      </c>
      <c r="EO147" t="s">
        <v>3</v>
      </c>
      <c r="EQ147">
        <v>0</v>
      </c>
      <c r="ER147">
        <v>0</v>
      </c>
      <c r="ES147">
        <v>0</v>
      </c>
      <c r="ET147">
        <v>0</v>
      </c>
      <c r="EU147">
        <v>0</v>
      </c>
      <c r="EV147">
        <v>0</v>
      </c>
      <c r="EW147">
        <v>0</v>
      </c>
      <c r="EX147">
        <v>0</v>
      </c>
      <c r="EY147">
        <v>0</v>
      </c>
      <c r="FQ147">
        <v>0</v>
      </c>
      <c r="FR147">
        <f t="shared" si="157"/>
        <v>0</v>
      </c>
      <c r="FS147">
        <v>0</v>
      </c>
      <c r="FX147">
        <v>0</v>
      </c>
      <c r="FY147">
        <v>0</v>
      </c>
      <c r="GA147" t="s">
        <v>3</v>
      </c>
      <c r="GD147">
        <v>0</v>
      </c>
      <c r="GF147">
        <v>296851765</v>
      </c>
      <c r="GG147">
        <v>2</v>
      </c>
      <c r="GH147">
        <v>0</v>
      </c>
      <c r="GI147">
        <v>5</v>
      </c>
      <c r="GJ147">
        <v>0</v>
      </c>
      <c r="GK147">
        <f>ROUND(R147*(S12)/100,2)</f>
        <v>0</v>
      </c>
      <c r="GL147">
        <f t="shared" si="158"/>
        <v>0</v>
      </c>
      <c r="GM147">
        <f t="shared" si="159"/>
        <v>0</v>
      </c>
      <c r="GN147">
        <f t="shared" si="160"/>
        <v>0</v>
      </c>
      <c r="GO147">
        <f t="shared" si="161"/>
        <v>0</v>
      </c>
      <c r="GP147">
        <f t="shared" si="162"/>
        <v>0</v>
      </c>
      <c r="GR147">
        <v>0</v>
      </c>
      <c r="GS147">
        <v>3</v>
      </c>
      <c r="GT147">
        <v>0</v>
      </c>
      <c r="GU147" t="s">
        <v>3</v>
      </c>
      <c r="GV147">
        <f t="shared" si="163"/>
        <v>0</v>
      </c>
      <c r="GW147">
        <v>1</v>
      </c>
      <c r="GX147">
        <f t="shared" si="164"/>
        <v>0</v>
      </c>
      <c r="HA147">
        <v>0</v>
      </c>
      <c r="HB147">
        <v>0</v>
      </c>
      <c r="HC147">
        <f t="shared" si="165"/>
        <v>0</v>
      </c>
      <c r="HE147" t="s">
        <v>3</v>
      </c>
      <c r="HF147" t="s">
        <v>3</v>
      </c>
      <c r="IK147">
        <v>0</v>
      </c>
    </row>
    <row r="148" spans="1:255" x14ac:dyDescent="0.2">
      <c r="A148" s="2">
        <v>17</v>
      </c>
      <c r="B148" s="2">
        <v>1</v>
      </c>
      <c r="C148" s="2">
        <f>ROW(SmtRes!A97)</f>
        <v>97</v>
      </c>
      <c r="D148" s="2">
        <f>ROW(EtalonRes!A97)</f>
        <v>97</v>
      </c>
      <c r="E148" s="2" t="s">
        <v>195</v>
      </c>
      <c r="F148" s="2" t="s">
        <v>196</v>
      </c>
      <c r="G148" s="2" t="s">
        <v>197</v>
      </c>
      <c r="H148" s="2" t="s">
        <v>198</v>
      </c>
      <c r="I148" s="2">
        <f>ROUND((192*0.15*0.95)/100,9)</f>
        <v>0.27360000000000001</v>
      </c>
      <c r="J148" s="2">
        <v>0</v>
      </c>
      <c r="K148" s="2"/>
      <c r="L148" s="2"/>
      <c r="M148" s="2"/>
      <c r="N148" s="2"/>
      <c r="O148" s="2">
        <f t="shared" si="128"/>
        <v>225.09</v>
      </c>
      <c r="P148" s="2">
        <f t="shared" si="129"/>
        <v>0</v>
      </c>
      <c r="Q148" s="2">
        <f t="shared" si="130"/>
        <v>221.23</v>
      </c>
      <c r="R148" s="2">
        <f t="shared" si="131"/>
        <v>36.03</v>
      </c>
      <c r="S148" s="2">
        <f t="shared" si="132"/>
        <v>3.86</v>
      </c>
      <c r="T148" s="2">
        <f t="shared" si="133"/>
        <v>0</v>
      </c>
      <c r="U148" s="2">
        <f t="shared" si="134"/>
        <v>0.37756799999999996</v>
      </c>
      <c r="V148" s="2">
        <f t="shared" si="135"/>
        <v>0</v>
      </c>
      <c r="W148" s="2">
        <f t="shared" si="136"/>
        <v>0</v>
      </c>
      <c r="X148" s="2">
        <f t="shared" si="137"/>
        <v>3.78</v>
      </c>
      <c r="Y148" s="2">
        <f t="shared" si="138"/>
        <v>2.97</v>
      </c>
      <c r="Z148" s="2"/>
      <c r="AA148" s="2">
        <v>45748053</v>
      </c>
      <c r="AB148" s="2">
        <f t="shared" si="139"/>
        <v>822.68</v>
      </c>
      <c r="AC148" s="2">
        <f t="shared" si="140"/>
        <v>0</v>
      </c>
      <c r="AD148" s="2">
        <f t="shared" si="141"/>
        <v>808.58</v>
      </c>
      <c r="AE148" s="2">
        <f t="shared" si="142"/>
        <v>131.69</v>
      </c>
      <c r="AF148" s="2">
        <f t="shared" si="143"/>
        <v>14.1</v>
      </c>
      <c r="AG148" s="2">
        <f t="shared" si="144"/>
        <v>0</v>
      </c>
      <c r="AH148" s="2">
        <f t="shared" si="145"/>
        <v>1.38</v>
      </c>
      <c r="AI148" s="2">
        <f t="shared" si="146"/>
        <v>0</v>
      </c>
      <c r="AJ148" s="2">
        <f t="shared" si="147"/>
        <v>0</v>
      </c>
      <c r="AK148" s="2">
        <v>822.68</v>
      </c>
      <c r="AL148" s="2">
        <v>0</v>
      </c>
      <c r="AM148" s="2">
        <v>808.58</v>
      </c>
      <c r="AN148" s="2">
        <v>131.69</v>
      </c>
      <c r="AO148" s="2">
        <v>14.1</v>
      </c>
      <c r="AP148" s="2">
        <v>0</v>
      </c>
      <c r="AQ148" s="2">
        <v>1.38</v>
      </c>
      <c r="AR148" s="2">
        <v>0</v>
      </c>
      <c r="AS148" s="2">
        <v>0</v>
      </c>
      <c r="AT148" s="2">
        <v>98</v>
      </c>
      <c r="AU148" s="2">
        <v>77</v>
      </c>
      <c r="AV148" s="2">
        <v>1</v>
      </c>
      <c r="AW148" s="2">
        <v>1</v>
      </c>
      <c r="AX148" s="2"/>
      <c r="AY148" s="2"/>
      <c r="AZ148" s="2">
        <v>1</v>
      </c>
      <c r="BA148" s="2">
        <v>1</v>
      </c>
      <c r="BB148" s="2">
        <v>1</v>
      </c>
      <c r="BC148" s="2">
        <v>1</v>
      </c>
      <c r="BD148" s="2" t="s">
        <v>3</v>
      </c>
      <c r="BE148" s="2" t="s">
        <v>3</v>
      </c>
      <c r="BF148" s="2" t="s">
        <v>3</v>
      </c>
      <c r="BG148" s="2" t="s">
        <v>3</v>
      </c>
      <c r="BH148" s="2">
        <v>0</v>
      </c>
      <c r="BI148" s="2">
        <v>1</v>
      </c>
      <c r="BJ148" s="2" t="s">
        <v>199</v>
      </c>
      <c r="BK148" s="2"/>
      <c r="BL148" s="2"/>
      <c r="BM148" s="2">
        <v>2</v>
      </c>
      <c r="BN148" s="2">
        <v>0</v>
      </c>
      <c r="BO148" s="2" t="s">
        <v>3</v>
      </c>
      <c r="BP148" s="2">
        <v>0</v>
      </c>
      <c r="BQ148" s="2">
        <v>30</v>
      </c>
      <c r="BR148" s="2">
        <v>0</v>
      </c>
      <c r="BS148" s="2">
        <v>1</v>
      </c>
      <c r="BT148" s="2">
        <v>1</v>
      </c>
      <c r="BU148" s="2">
        <v>1</v>
      </c>
      <c r="BV148" s="2">
        <v>1</v>
      </c>
      <c r="BW148" s="2">
        <v>1</v>
      </c>
      <c r="BX148" s="2">
        <v>1</v>
      </c>
      <c r="BY148" s="2" t="s">
        <v>3</v>
      </c>
      <c r="BZ148" s="2">
        <v>98</v>
      </c>
      <c r="CA148" s="2">
        <v>77</v>
      </c>
      <c r="CB148" s="2"/>
      <c r="CC148" s="2"/>
      <c r="CD148" s="2"/>
      <c r="CE148" s="2">
        <v>30</v>
      </c>
      <c r="CF148" s="2">
        <v>0</v>
      </c>
      <c r="CG148" s="2">
        <v>0</v>
      </c>
      <c r="CH148" s="2"/>
      <c r="CI148" s="2"/>
      <c r="CJ148" s="2"/>
      <c r="CK148" s="2"/>
      <c r="CL148" s="2"/>
      <c r="CM148" s="2">
        <v>0</v>
      </c>
      <c r="CN148" s="2" t="s">
        <v>3</v>
      </c>
      <c r="CO148" s="2">
        <v>0</v>
      </c>
      <c r="CP148" s="2">
        <f t="shared" si="148"/>
        <v>225.09</v>
      </c>
      <c r="CQ148" s="2">
        <f t="shared" si="149"/>
        <v>0</v>
      </c>
      <c r="CR148" s="2">
        <f t="shared" si="150"/>
        <v>808.58</v>
      </c>
      <c r="CS148" s="2">
        <f t="shared" si="151"/>
        <v>131.69</v>
      </c>
      <c r="CT148" s="2">
        <f t="shared" si="152"/>
        <v>14.1</v>
      </c>
      <c r="CU148" s="2">
        <f t="shared" si="153"/>
        <v>0</v>
      </c>
      <c r="CV148" s="2">
        <f t="shared" si="154"/>
        <v>1.38</v>
      </c>
      <c r="CW148" s="2">
        <f t="shared" si="155"/>
        <v>0</v>
      </c>
      <c r="CX148" s="2">
        <f t="shared" si="156"/>
        <v>0</v>
      </c>
      <c r="CY148" s="2">
        <f>((S148*BZ148)/100)</f>
        <v>3.7827999999999999</v>
      </c>
      <c r="CZ148" s="2">
        <f>((S148*CA148)/100)</f>
        <v>2.9721999999999995</v>
      </c>
      <c r="DA148" s="2"/>
      <c r="DB148" s="2"/>
      <c r="DC148" s="2" t="s">
        <v>3</v>
      </c>
      <c r="DD148" s="2" t="s">
        <v>3</v>
      </c>
      <c r="DE148" s="2" t="s">
        <v>3</v>
      </c>
      <c r="DF148" s="2" t="s">
        <v>3</v>
      </c>
      <c r="DG148" s="2" t="s">
        <v>3</v>
      </c>
      <c r="DH148" s="2" t="s">
        <v>3</v>
      </c>
      <c r="DI148" s="2" t="s">
        <v>3</v>
      </c>
      <c r="DJ148" s="2" t="s">
        <v>3</v>
      </c>
      <c r="DK148" s="2" t="s">
        <v>3</v>
      </c>
      <c r="DL148" s="2" t="s">
        <v>3</v>
      </c>
      <c r="DM148" s="2" t="s">
        <v>3</v>
      </c>
      <c r="DN148" s="2">
        <v>0</v>
      </c>
      <c r="DO148" s="2">
        <v>0</v>
      </c>
      <c r="DP148" s="2">
        <v>1</v>
      </c>
      <c r="DQ148" s="2">
        <v>1</v>
      </c>
      <c r="DR148" s="2"/>
      <c r="DS148" s="2"/>
      <c r="DT148" s="2"/>
      <c r="DU148" s="2">
        <v>1013</v>
      </c>
      <c r="DV148" s="2" t="s">
        <v>198</v>
      </c>
      <c r="DW148" s="2" t="s">
        <v>198</v>
      </c>
      <c r="DX148" s="2">
        <v>1</v>
      </c>
      <c r="DY148" s="2"/>
      <c r="DZ148" s="2"/>
      <c r="EA148" s="2"/>
      <c r="EB148" s="2"/>
      <c r="EC148" s="2"/>
      <c r="ED148" s="2"/>
      <c r="EE148" s="2">
        <v>45706506</v>
      </c>
      <c r="EF148" s="2">
        <v>30</v>
      </c>
      <c r="EG148" s="2" t="s">
        <v>58</v>
      </c>
      <c r="EH148" s="2">
        <v>0</v>
      </c>
      <c r="EI148" s="2" t="s">
        <v>3</v>
      </c>
      <c r="EJ148" s="2">
        <v>1</v>
      </c>
      <c r="EK148" s="2">
        <v>2</v>
      </c>
      <c r="EL148" s="2" t="s">
        <v>200</v>
      </c>
      <c r="EM148" s="2" t="s">
        <v>201</v>
      </c>
      <c r="EN148" s="2"/>
      <c r="EO148" s="2" t="s">
        <v>3</v>
      </c>
      <c r="EP148" s="2"/>
      <c r="EQ148" s="2">
        <v>0</v>
      </c>
      <c r="ER148" s="2">
        <v>822.68</v>
      </c>
      <c r="ES148" s="2">
        <v>0</v>
      </c>
      <c r="ET148" s="2">
        <v>808.58</v>
      </c>
      <c r="EU148" s="2">
        <v>131.69</v>
      </c>
      <c r="EV148" s="2">
        <v>14.1</v>
      </c>
      <c r="EW148" s="2">
        <v>1.38</v>
      </c>
      <c r="EX148" s="2">
        <v>0</v>
      </c>
      <c r="EY148" s="2">
        <v>0</v>
      </c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>
        <v>0</v>
      </c>
      <c r="FR148" s="2">
        <f t="shared" si="157"/>
        <v>0</v>
      </c>
      <c r="FS148" s="2">
        <v>0</v>
      </c>
      <c r="FT148" s="2"/>
      <c r="FU148" s="2"/>
      <c r="FV148" s="2"/>
      <c r="FW148" s="2"/>
      <c r="FX148" s="2">
        <v>98</v>
      </c>
      <c r="FY148" s="2">
        <v>77</v>
      </c>
      <c r="FZ148" s="2"/>
      <c r="GA148" s="2" t="s">
        <v>3</v>
      </c>
      <c r="GB148" s="2"/>
      <c r="GC148" s="2"/>
      <c r="GD148" s="2">
        <v>0</v>
      </c>
      <c r="GE148" s="2"/>
      <c r="GF148" s="2">
        <v>-898816014</v>
      </c>
      <c r="GG148" s="2">
        <v>2</v>
      </c>
      <c r="GH148" s="2">
        <v>1</v>
      </c>
      <c r="GI148" s="2">
        <v>-2</v>
      </c>
      <c r="GJ148" s="2">
        <v>0</v>
      </c>
      <c r="GK148" s="2">
        <f>ROUND(R148*(R12)/100,2)</f>
        <v>63.05</v>
      </c>
      <c r="GL148" s="2">
        <f t="shared" si="158"/>
        <v>0</v>
      </c>
      <c r="GM148" s="2">
        <f t="shared" si="159"/>
        <v>294.89</v>
      </c>
      <c r="GN148" s="2">
        <f t="shared" si="160"/>
        <v>294.89</v>
      </c>
      <c r="GO148" s="2">
        <f t="shared" si="161"/>
        <v>0</v>
      </c>
      <c r="GP148" s="2">
        <f t="shared" si="162"/>
        <v>0</v>
      </c>
      <c r="GQ148" s="2"/>
      <c r="GR148" s="2">
        <v>0</v>
      </c>
      <c r="GS148" s="2">
        <v>3</v>
      </c>
      <c r="GT148" s="2">
        <v>0</v>
      </c>
      <c r="GU148" s="2" t="s">
        <v>3</v>
      </c>
      <c r="GV148" s="2">
        <f t="shared" si="163"/>
        <v>0</v>
      </c>
      <c r="GW148" s="2">
        <v>1</v>
      </c>
      <c r="GX148" s="2">
        <f t="shared" si="164"/>
        <v>0</v>
      </c>
      <c r="GY148" s="2"/>
      <c r="GZ148" s="2"/>
      <c r="HA148" s="2">
        <v>0</v>
      </c>
      <c r="HB148" s="2">
        <v>0</v>
      </c>
      <c r="HC148" s="2">
        <f t="shared" si="165"/>
        <v>0</v>
      </c>
      <c r="HD148" s="2"/>
      <c r="HE148" s="2" t="s">
        <v>3</v>
      </c>
      <c r="HF148" s="2" t="s">
        <v>3</v>
      </c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>
        <v>0</v>
      </c>
      <c r="IL148" s="2"/>
      <c r="IM148" s="2"/>
      <c r="IN148" s="2"/>
      <c r="IO148" s="2"/>
      <c r="IP148" s="2"/>
      <c r="IQ148" s="2"/>
      <c r="IR148" s="2"/>
      <c r="IS148" s="2"/>
      <c r="IT148" s="2"/>
      <c r="IU148" s="2"/>
    </row>
    <row r="149" spans="1:255" x14ac:dyDescent="0.2">
      <c r="A149">
        <v>17</v>
      </c>
      <c r="B149">
        <v>1</v>
      </c>
      <c r="C149">
        <f>ROW(SmtRes!A100)</f>
        <v>100</v>
      </c>
      <c r="D149">
        <f>ROW(EtalonRes!A100)</f>
        <v>100</v>
      </c>
      <c r="E149" t="s">
        <v>195</v>
      </c>
      <c r="F149" t="s">
        <v>196</v>
      </c>
      <c r="G149" t="s">
        <v>197</v>
      </c>
      <c r="H149" t="s">
        <v>198</v>
      </c>
      <c r="I149">
        <f>ROUND((192*0.15*0.95)/100,9)</f>
        <v>0.27360000000000001</v>
      </c>
      <c r="J149">
        <v>0</v>
      </c>
      <c r="O149">
        <f t="shared" si="128"/>
        <v>2280.54</v>
      </c>
      <c r="P149">
        <f t="shared" si="129"/>
        <v>0</v>
      </c>
      <c r="Q149">
        <f t="shared" si="130"/>
        <v>2183.54</v>
      </c>
      <c r="R149">
        <f t="shared" si="131"/>
        <v>905.43</v>
      </c>
      <c r="S149">
        <f t="shared" si="132"/>
        <v>97</v>
      </c>
      <c r="T149">
        <f t="shared" si="133"/>
        <v>0</v>
      </c>
      <c r="U149">
        <f t="shared" si="134"/>
        <v>0.37756799999999996</v>
      </c>
      <c r="V149">
        <f t="shared" si="135"/>
        <v>0</v>
      </c>
      <c r="W149">
        <f t="shared" si="136"/>
        <v>0</v>
      </c>
      <c r="X149">
        <f t="shared" si="137"/>
        <v>89.24</v>
      </c>
      <c r="Y149">
        <f t="shared" si="138"/>
        <v>48.5</v>
      </c>
      <c r="AA149">
        <v>45747932</v>
      </c>
      <c r="AB149">
        <f t="shared" si="139"/>
        <v>822.68</v>
      </c>
      <c r="AC149">
        <f t="shared" si="140"/>
        <v>0</v>
      </c>
      <c r="AD149">
        <f t="shared" si="141"/>
        <v>808.58</v>
      </c>
      <c r="AE149">
        <f t="shared" si="142"/>
        <v>131.69</v>
      </c>
      <c r="AF149">
        <f t="shared" si="143"/>
        <v>14.1</v>
      </c>
      <c r="AG149">
        <f t="shared" si="144"/>
        <v>0</v>
      </c>
      <c r="AH149">
        <f t="shared" si="145"/>
        <v>1.38</v>
      </c>
      <c r="AI149">
        <f t="shared" si="146"/>
        <v>0</v>
      </c>
      <c r="AJ149">
        <f t="shared" si="147"/>
        <v>0</v>
      </c>
      <c r="AK149">
        <v>822.68</v>
      </c>
      <c r="AL149">
        <v>0</v>
      </c>
      <c r="AM149">
        <v>808.58</v>
      </c>
      <c r="AN149">
        <v>131.69</v>
      </c>
      <c r="AO149">
        <v>14.1</v>
      </c>
      <c r="AP149">
        <v>0</v>
      </c>
      <c r="AQ149">
        <v>1.38</v>
      </c>
      <c r="AR149">
        <v>0</v>
      </c>
      <c r="AS149">
        <v>0</v>
      </c>
      <c r="AT149">
        <v>92</v>
      </c>
      <c r="AU149">
        <v>50</v>
      </c>
      <c r="AV149">
        <v>1</v>
      </c>
      <c r="AW149">
        <v>1</v>
      </c>
      <c r="AZ149">
        <v>1</v>
      </c>
      <c r="BA149">
        <v>25.13</v>
      </c>
      <c r="BB149">
        <v>9.8699999999999992</v>
      </c>
      <c r="BC149">
        <v>1</v>
      </c>
      <c r="BD149" t="s">
        <v>3</v>
      </c>
      <c r="BE149" t="s">
        <v>3</v>
      </c>
      <c r="BF149" t="s">
        <v>3</v>
      </c>
      <c r="BG149" t="s">
        <v>3</v>
      </c>
      <c r="BH149">
        <v>0</v>
      </c>
      <c r="BI149">
        <v>1</v>
      </c>
      <c r="BJ149" t="s">
        <v>199</v>
      </c>
      <c r="BM149">
        <v>2</v>
      </c>
      <c r="BN149">
        <v>0</v>
      </c>
      <c r="BO149" t="s">
        <v>196</v>
      </c>
      <c r="BP149">
        <v>1</v>
      </c>
      <c r="BQ149">
        <v>30</v>
      </c>
      <c r="BR149">
        <v>0</v>
      </c>
      <c r="BS149">
        <v>25.13</v>
      </c>
      <c r="BT149">
        <v>1</v>
      </c>
      <c r="BU149">
        <v>1</v>
      </c>
      <c r="BV149">
        <v>1</v>
      </c>
      <c r="BW149">
        <v>1</v>
      </c>
      <c r="BX149">
        <v>1</v>
      </c>
      <c r="BY149" t="s">
        <v>3</v>
      </c>
      <c r="BZ149">
        <v>92</v>
      </c>
      <c r="CA149">
        <v>50</v>
      </c>
      <c r="CE149">
        <v>30</v>
      </c>
      <c r="CF149">
        <v>0</v>
      </c>
      <c r="CG149">
        <v>0</v>
      </c>
      <c r="CM149">
        <v>0</v>
      </c>
      <c r="CN149" t="s">
        <v>3</v>
      </c>
      <c r="CO149">
        <v>0</v>
      </c>
      <c r="CP149">
        <f t="shared" si="148"/>
        <v>2280.54</v>
      </c>
      <c r="CQ149">
        <f t="shared" si="149"/>
        <v>0</v>
      </c>
      <c r="CR149">
        <f t="shared" si="150"/>
        <v>7980.68</v>
      </c>
      <c r="CS149">
        <f t="shared" si="151"/>
        <v>3309.37</v>
      </c>
      <c r="CT149">
        <f t="shared" si="152"/>
        <v>354.33</v>
      </c>
      <c r="CU149">
        <f t="shared" si="153"/>
        <v>0</v>
      </c>
      <c r="CV149">
        <f t="shared" si="154"/>
        <v>1.38</v>
      </c>
      <c r="CW149">
        <f t="shared" si="155"/>
        <v>0</v>
      </c>
      <c r="CX149">
        <f t="shared" si="156"/>
        <v>0</v>
      </c>
      <c r="CY149">
        <f>S149*(BZ149/100)</f>
        <v>89.240000000000009</v>
      </c>
      <c r="CZ149">
        <f>S149*(CA149/100)</f>
        <v>48.5</v>
      </c>
      <c r="DC149" t="s">
        <v>3</v>
      </c>
      <c r="DD149" t="s">
        <v>3</v>
      </c>
      <c r="DE149" t="s">
        <v>3</v>
      </c>
      <c r="DF149" t="s">
        <v>3</v>
      </c>
      <c r="DG149" t="s">
        <v>3</v>
      </c>
      <c r="DH149" t="s">
        <v>3</v>
      </c>
      <c r="DI149" t="s">
        <v>3</v>
      </c>
      <c r="DJ149" t="s">
        <v>3</v>
      </c>
      <c r="DK149" t="s">
        <v>3</v>
      </c>
      <c r="DL149" t="s">
        <v>3</v>
      </c>
      <c r="DM149" t="s">
        <v>3</v>
      </c>
      <c r="DN149">
        <v>98</v>
      </c>
      <c r="DO149">
        <v>77</v>
      </c>
      <c r="DP149">
        <v>1</v>
      </c>
      <c r="DQ149">
        <v>1</v>
      </c>
      <c r="DU149">
        <v>1013</v>
      </c>
      <c r="DV149" t="s">
        <v>198</v>
      </c>
      <c r="DW149" t="s">
        <v>198</v>
      </c>
      <c r="DX149">
        <v>1</v>
      </c>
      <c r="EE149">
        <v>45706506</v>
      </c>
      <c r="EF149">
        <v>30</v>
      </c>
      <c r="EG149" t="s">
        <v>58</v>
      </c>
      <c r="EH149">
        <v>0</v>
      </c>
      <c r="EI149" t="s">
        <v>3</v>
      </c>
      <c r="EJ149">
        <v>1</v>
      </c>
      <c r="EK149">
        <v>2</v>
      </c>
      <c r="EL149" t="s">
        <v>200</v>
      </c>
      <c r="EM149" t="s">
        <v>201</v>
      </c>
      <c r="EO149" t="s">
        <v>3</v>
      </c>
      <c r="EQ149">
        <v>0</v>
      </c>
      <c r="ER149">
        <v>822.68</v>
      </c>
      <c r="ES149">
        <v>0</v>
      </c>
      <c r="ET149">
        <v>808.58</v>
      </c>
      <c r="EU149">
        <v>131.69</v>
      </c>
      <c r="EV149">
        <v>14.1</v>
      </c>
      <c r="EW149">
        <v>1.38</v>
      </c>
      <c r="EX149">
        <v>0</v>
      </c>
      <c r="EY149">
        <v>0</v>
      </c>
      <c r="FQ149">
        <v>0</v>
      </c>
      <c r="FR149">
        <f t="shared" si="157"/>
        <v>0</v>
      </c>
      <c r="FS149">
        <v>0</v>
      </c>
      <c r="FX149">
        <v>98</v>
      </c>
      <c r="FY149">
        <v>77</v>
      </c>
      <c r="GA149" t="s">
        <v>3</v>
      </c>
      <c r="GD149">
        <v>0</v>
      </c>
      <c r="GF149">
        <v>-898816014</v>
      </c>
      <c r="GG149">
        <v>2</v>
      </c>
      <c r="GH149">
        <v>1</v>
      </c>
      <c r="GI149">
        <v>2</v>
      </c>
      <c r="GJ149">
        <v>0</v>
      </c>
      <c r="GK149">
        <f>ROUND(R149*(S12)/100,2)</f>
        <v>1421.53</v>
      </c>
      <c r="GL149">
        <f t="shared" si="158"/>
        <v>0</v>
      </c>
      <c r="GM149">
        <f t="shared" si="159"/>
        <v>3839.81</v>
      </c>
      <c r="GN149">
        <f t="shared" si="160"/>
        <v>3839.81</v>
      </c>
      <c r="GO149">
        <f t="shared" si="161"/>
        <v>0</v>
      </c>
      <c r="GP149">
        <f t="shared" si="162"/>
        <v>0</v>
      </c>
      <c r="GR149">
        <v>0</v>
      </c>
      <c r="GS149">
        <v>3</v>
      </c>
      <c r="GT149">
        <v>0</v>
      </c>
      <c r="GU149" t="s">
        <v>3</v>
      </c>
      <c r="GV149">
        <f t="shared" si="163"/>
        <v>0</v>
      </c>
      <c r="GW149">
        <v>1</v>
      </c>
      <c r="GX149">
        <f t="shared" si="164"/>
        <v>0</v>
      </c>
      <c r="HA149">
        <v>0</v>
      </c>
      <c r="HB149">
        <v>0</v>
      </c>
      <c r="HC149">
        <f t="shared" si="165"/>
        <v>0</v>
      </c>
      <c r="HE149" t="s">
        <v>3</v>
      </c>
      <c r="HF149" t="s">
        <v>3</v>
      </c>
      <c r="IK149">
        <v>0</v>
      </c>
    </row>
    <row r="150" spans="1:255" x14ac:dyDescent="0.2">
      <c r="A150" s="2">
        <v>17</v>
      </c>
      <c r="B150" s="2">
        <v>1</v>
      </c>
      <c r="C150" s="2">
        <f>ROW(SmtRes!A101)</f>
        <v>101</v>
      </c>
      <c r="D150" s="2">
        <f>ROW(EtalonRes!A101)</f>
        <v>101</v>
      </c>
      <c r="E150" s="2" t="s">
        <v>202</v>
      </c>
      <c r="F150" s="2" t="s">
        <v>203</v>
      </c>
      <c r="G150" s="2" t="s">
        <v>204</v>
      </c>
      <c r="H150" s="2" t="s">
        <v>198</v>
      </c>
      <c r="I150" s="2">
        <f>ROUND((192*0.15*0.05)/100,9)</f>
        <v>1.44E-2</v>
      </c>
      <c r="J150" s="2">
        <v>0</v>
      </c>
      <c r="K150" s="2"/>
      <c r="L150" s="2"/>
      <c r="M150" s="2"/>
      <c r="N150" s="2"/>
      <c r="O150" s="2">
        <f t="shared" si="128"/>
        <v>29.41</v>
      </c>
      <c r="P150" s="2">
        <f t="shared" si="129"/>
        <v>0</v>
      </c>
      <c r="Q150" s="2">
        <f t="shared" si="130"/>
        <v>0</v>
      </c>
      <c r="R150" s="2">
        <f t="shared" si="131"/>
        <v>0</v>
      </c>
      <c r="S150" s="2">
        <f t="shared" si="132"/>
        <v>29.41</v>
      </c>
      <c r="T150" s="2">
        <f t="shared" si="133"/>
        <v>0</v>
      </c>
      <c r="U150" s="2">
        <f t="shared" si="134"/>
        <v>2.7748799999999996</v>
      </c>
      <c r="V150" s="2">
        <f t="shared" si="135"/>
        <v>0</v>
      </c>
      <c r="W150" s="2">
        <f t="shared" si="136"/>
        <v>0</v>
      </c>
      <c r="X150" s="2">
        <f t="shared" si="137"/>
        <v>30.88</v>
      </c>
      <c r="Y150" s="2">
        <f t="shared" si="138"/>
        <v>22.65</v>
      </c>
      <c r="Z150" s="2"/>
      <c r="AA150" s="2">
        <v>45748053</v>
      </c>
      <c r="AB150" s="2">
        <f t="shared" si="139"/>
        <v>2042.62</v>
      </c>
      <c r="AC150" s="2">
        <f t="shared" si="140"/>
        <v>0</v>
      </c>
      <c r="AD150" s="2">
        <f t="shared" si="141"/>
        <v>0</v>
      </c>
      <c r="AE150" s="2">
        <f t="shared" si="142"/>
        <v>0</v>
      </c>
      <c r="AF150" s="2">
        <f t="shared" si="143"/>
        <v>2042.62</v>
      </c>
      <c r="AG150" s="2">
        <f t="shared" si="144"/>
        <v>0</v>
      </c>
      <c r="AH150" s="2">
        <f t="shared" si="145"/>
        <v>192.7</v>
      </c>
      <c r="AI150" s="2">
        <f t="shared" si="146"/>
        <v>0</v>
      </c>
      <c r="AJ150" s="2">
        <f t="shared" si="147"/>
        <v>0</v>
      </c>
      <c r="AK150" s="2">
        <v>2042.62</v>
      </c>
      <c r="AL150" s="2">
        <v>0</v>
      </c>
      <c r="AM150" s="2">
        <v>0</v>
      </c>
      <c r="AN150" s="2">
        <v>0</v>
      </c>
      <c r="AO150" s="2">
        <v>2042.62</v>
      </c>
      <c r="AP150" s="2">
        <v>0</v>
      </c>
      <c r="AQ150" s="2">
        <v>192.7</v>
      </c>
      <c r="AR150" s="2">
        <v>0</v>
      </c>
      <c r="AS150" s="2">
        <v>0</v>
      </c>
      <c r="AT150" s="2">
        <v>105</v>
      </c>
      <c r="AU150" s="2">
        <v>77</v>
      </c>
      <c r="AV150" s="2">
        <v>1</v>
      </c>
      <c r="AW150" s="2">
        <v>1</v>
      </c>
      <c r="AX150" s="2"/>
      <c r="AY150" s="2"/>
      <c r="AZ150" s="2">
        <v>1</v>
      </c>
      <c r="BA150" s="2">
        <v>1</v>
      </c>
      <c r="BB150" s="2">
        <v>1</v>
      </c>
      <c r="BC150" s="2">
        <v>1</v>
      </c>
      <c r="BD150" s="2" t="s">
        <v>3</v>
      </c>
      <c r="BE150" s="2" t="s">
        <v>3</v>
      </c>
      <c r="BF150" s="2" t="s">
        <v>3</v>
      </c>
      <c r="BG150" s="2" t="s">
        <v>3</v>
      </c>
      <c r="BH150" s="2">
        <v>0</v>
      </c>
      <c r="BI150" s="2">
        <v>1</v>
      </c>
      <c r="BJ150" s="2" t="s">
        <v>205</v>
      </c>
      <c r="BK150" s="2"/>
      <c r="BL150" s="2"/>
      <c r="BM150" s="2">
        <v>16</v>
      </c>
      <c r="BN150" s="2">
        <v>0</v>
      </c>
      <c r="BO150" s="2" t="s">
        <v>3</v>
      </c>
      <c r="BP150" s="2">
        <v>0</v>
      </c>
      <c r="BQ150" s="2">
        <v>30</v>
      </c>
      <c r="BR150" s="2">
        <v>0</v>
      </c>
      <c r="BS150" s="2">
        <v>1</v>
      </c>
      <c r="BT150" s="2">
        <v>1</v>
      </c>
      <c r="BU150" s="2">
        <v>1</v>
      </c>
      <c r="BV150" s="2">
        <v>1</v>
      </c>
      <c r="BW150" s="2">
        <v>1</v>
      </c>
      <c r="BX150" s="2">
        <v>1</v>
      </c>
      <c r="BY150" s="2" t="s">
        <v>3</v>
      </c>
      <c r="BZ150" s="2">
        <v>105</v>
      </c>
      <c r="CA150" s="2">
        <v>77</v>
      </c>
      <c r="CB150" s="2"/>
      <c r="CC150" s="2"/>
      <c r="CD150" s="2"/>
      <c r="CE150" s="2">
        <v>30</v>
      </c>
      <c r="CF150" s="2">
        <v>0</v>
      </c>
      <c r="CG150" s="2">
        <v>0</v>
      </c>
      <c r="CH150" s="2"/>
      <c r="CI150" s="2"/>
      <c r="CJ150" s="2"/>
      <c r="CK150" s="2"/>
      <c r="CL150" s="2"/>
      <c r="CM150" s="2">
        <v>0</v>
      </c>
      <c r="CN150" s="2" t="s">
        <v>3</v>
      </c>
      <c r="CO150" s="2">
        <v>0</v>
      </c>
      <c r="CP150" s="2">
        <f t="shared" si="148"/>
        <v>29.41</v>
      </c>
      <c r="CQ150" s="2">
        <f t="shared" si="149"/>
        <v>0</v>
      </c>
      <c r="CR150" s="2">
        <f t="shared" si="150"/>
        <v>0</v>
      </c>
      <c r="CS150" s="2">
        <f t="shared" si="151"/>
        <v>0</v>
      </c>
      <c r="CT150" s="2">
        <f t="shared" si="152"/>
        <v>2042.62</v>
      </c>
      <c r="CU150" s="2">
        <f t="shared" si="153"/>
        <v>0</v>
      </c>
      <c r="CV150" s="2">
        <f t="shared" si="154"/>
        <v>192.7</v>
      </c>
      <c r="CW150" s="2">
        <f t="shared" si="155"/>
        <v>0</v>
      </c>
      <c r="CX150" s="2">
        <f t="shared" si="156"/>
        <v>0</v>
      </c>
      <c r="CY150" s="2">
        <f>((S150*BZ150)/100)</f>
        <v>30.880500000000001</v>
      </c>
      <c r="CZ150" s="2">
        <f>((S150*CA150)/100)</f>
        <v>22.645700000000001</v>
      </c>
      <c r="DA150" s="2"/>
      <c r="DB150" s="2"/>
      <c r="DC150" s="2" t="s">
        <v>3</v>
      </c>
      <c r="DD150" s="2" t="s">
        <v>3</v>
      </c>
      <c r="DE150" s="2" t="s">
        <v>3</v>
      </c>
      <c r="DF150" s="2" t="s">
        <v>3</v>
      </c>
      <c r="DG150" s="2" t="s">
        <v>3</v>
      </c>
      <c r="DH150" s="2" t="s">
        <v>3</v>
      </c>
      <c r="DI150" s="2" t="s">
        <v>3</v>
      </c>
      <c r="DJ150" s="2" t="s">
        <v>3</v>
      </c>
      <c r="DK150" s="2" t="s">
        <v>3</v>
      </c>
      <c r="DL150" s="2" t="s">
        <v>3</v>
      </c>
      <c r="DM150" s="2" t="s">
        <v>3</v>
      </c>
      <c r="DN150" s="2">
        <v>0</v>
      </c>
      <c r="DO150" s="2">
        <v>0</v>
      </c>
      <c r="DP150" s="2">
        <v>1</v>
      </c>
      <c r="DQ150" s="2">
        <v>1</v>
      </c>
      <c r="DR150" s="2"/>
      <c r="DS150" s="2"/>
      <c r="DT150" s="2"/>
      <c r="DU150" s="2">
        <v>1013</v>
      </c>
      <c r="DV150" s="2" t="s">
        <v>198</v>
      </c>
      <c r="DW150" s="2" t="s">
        <v>198</v>
      </c>
      <c r="DX150" s="2">
        <v>1</v>
      </c>
      <c r="DY150" s="2"/>
      <c r="DZ150" s="2"/>
      <c r="EA150" s="2"/>
      <c r="EB150" s="2"/>
      <c r="EC150" s="2"/>
      <c r="ED150" s="2"/>
      <c r="EE150" s="2">
        <v>45706520</v>
      </c>
      <c r="EF150" s="2">
        <v>30</v>
      </c>
      <c r="EG150" s="2" t="s">
        <v>58</v>
      </c>
      <c r="EH150" s="2">
        <v>0</v>
      </c>
      <c r="EI150" s="2" t="s">
        <v>3</v>
      </c>
      <c r="EJ150" s="2">
        <v>1</v>
      </c>
      <c r="EK150" s="2">
        <v>16</v>
      </c>
      <c r="EL150" s="2" t="s">
        <v>206</v>
      </c>
      <c r="EM150" s="2" t="s">
        <v>207</v>
      </c>
      <c r="EN150" s="2"/>
      <c r="EO150" s="2" t="s">
        <v>3</v>
      </c>
      <c r="EP150" s="2"/>
      <c r="EQ150" s="2">
        <v>0</v>
      </c>
      <c r="ER150" s="2">
        <v>2042.62</v>
      </c>
      <c r="ES150" s="2">
        <v>0</v>
      </c>
      <c r="ET150" s="2">
        <v>0</v>
      </c>
      <c r="EU150" s="2">
        <v>0</v>
      </c>
      <c r="EV150" s="2">
        <v>2042.62</v>
      </c>
      <c r="EW150" s="2">
        <v>192.7</v>
      </c>
      <c r="EX150" s="2">
        <v>0</v>
      </c>
      <c r="EY150" s="2">
        <v>0</v>
      </c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>
        <v>0</v>
      </c>
      <c r="FR150" s="2">
        <f t="shared" si="157"/>
        <v>0</v>
      </c>
      <c r="FS150" s="2">
        <v>0</v>
      </c>
      <c r="FT150" s="2"/>
      <c r="FU150" s="2"/>
      <c r="FV150" s="2"/>
      <c r="FW150" s="2"/>
      <c r="FX150" s="2">
        <v>105</v>
      </c>
      <c r="FY150" s="2">
        <v>77</v>
      </c>
      <c r="FZ150" s="2"/>
      <c r="GA150" s="2" t="s">
        <v>3</v>
      </c>
      <c r="GB150" s="2"/>
      <c r="GC150" s="2"/>
      <c r="GD150" s="2">
        <v>0</v>
      </c>
      <c r="GE150" s="2"/>
      <c r="GF150" s="2">
        <v>-1632341149</v>
      </c>
      <c r="GG150" s="2">
        <v>2</v>
      </c>
      <c r="GH150" s="2">
        <v>1</v>
      </c>
      <c r="GI150" s="2">
        <v>-2</v>
      </c>
      <c r="GJ150" s="2">
        <v>0</v>
      </c>
      <c r="GK150" s="2">
        <f>ROUND(R150*(R12)/100,2)</f>
        <v>0</v>
      </c>
      <c r="GL150" s="2">
        <f t="shared" si="158"/>
        <v>0</v>
      </c>
      <c r="GM150" s="2">
        <f t="shared" si="159"/>
        <v>82.94</v>
      </c>
      <c r="GN150" s="2">
        <f t="shared" si="160"/>
        <v>82.94</v>
      </c>
      <c r="GO150" s="2">
        <f t="shared" si="161"/>
        <v>0</v>
      </c>
      <c r="GP150" s="2">
        <f t="shared" si="162"/>
        <v>0</v>
      </c>
      <c r="GQ150" s="2"/>
      <c r="GR150" s="2">
        <v>0</v>
      </c>
      <c r="GS150" s="2">
        <v>0</v>
      </c>
      <c r="GT150" s="2">
        <v>0</v>
      </c>
      <c r="GU150" s="2" t="s">
        <v>3</v>
      </c>
      <c r="GV150" s="2">
        <f t="shared" si="163"/>
        <v>0</v>
      </c>
      <c r="GW150" s="2">
        <v>1</v>
      </c>
      <c r="GX150" s="2">
        <f t="shared" si="164"/>
        <v>0</v>
      </c>
      <c r="GY150" s="2"/>
      <c r="GZ150" s="2"/>
      <c r="HA150" s="2">
        <v>0</v>
      </c>
      <c r="HB150" s="2">
        <v>0</v>
      </c>
      <c r="HC150" s="2">
        <f t="shared" si="165"/>
        <v>0</v>
      </c>
      <c r="HD150" s="2"/>
      <c r="HE150" s="2" t="s">
        <v>3</v>
      </c>
      <c r="HF150" s="2" t="s">
        <v>3</v>
      </c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>
        <v>0</v>
      </c>
      <c r="IL150" s="2"/>
      <c r="IM150" s="2"/>
      <c r="IN150" s="2"/>
      <c r="IO150" s="2"/>
      <c r="IP150" s="2"/>
      <c r="IQ150" s="2"/>
      <c r="IR150" s="2"/>
      <c r="IS150" s="2"/>
      <c r="IT150" s="2"/>
      <c r="IU150" s="2"/>
    </row>
    <row r="151" spans="1:255" x14ac:dyDescent="0.2">
      <c r="A151">
        <v>17</v>
      </c>
      <c r="B151">
        <v>1</v>
      </c>
      <c r="C151">
        <f>ROW(SmtRes!A102)</f>
        <v>102</v>
      </c>
      <c r="D151">
        <f>ROW(EtalonRes!A102)</f>
        <v>102</v>
      </c>
      <c r="E151" t="s">
        <v>202</v>
      </c>
      <c r="F151" t="s">
        <v>203</v>
      </c>
      <c r="G151" t="s">
        <v>204</v>
      </c>
      <c r="H151" t="s">
        <v>198</v>
      </c>
      <c r="I151">
        <f>ROUND((192*0.15*0.05)/100,9)</f>
        <v>1.44E-2</v>
      </c>
      <c r="J151">
        <v>0</v>
      </c>
      <c r="O151">
        <f t="shared" si="128"/>
        <v>739.07</v>
      </c>
      <c r="P151">
        <f t="shared" si="129"/>
        <v>0</v>
      </c>
      <c r="Q151">
        <f t="shared" si="130"/>
        <v>0</v>
      </c>
      <c r="R151">
        <f t="shared" si="131"/>
        <v>0</v>
      </c>
      <c r="S151">
        <f t="shared" si="132"/>
        <v>739.07</v>
      </c>
      <c r="T151">
        <f t="shared" si="133"/>
        <v>0</v>
      </c>
      <c r="U151">
        <f t="shared" si="134"/>
        <v>2.7748799999999996</v>
      </c>
      <c r="V151">
        <f t="shared" si="135"/>
        <v>0</v>
      </c>
      <c r="W151">
        <f t="shared" si="136"/>
        <v>0</v>
      </c>
      <c r="X151">
        <f t="shared" si="137"/>
        <v>628.21</v>
      </c>
      <c r="Y151">
        <f t="shared" si="138"/>
        <v>303.02</v>
      </c>
      <c r="AA151">
        <v>45747932</v>
      </c>
      <c r="AB151">
        <f t="shared" si="139"/>
        <v>2042.62</v>
      </c>
      <c r="AC151">
        <f t="shared" si="140"/>
        <v>0</v>
      </c>
      <c r="AD151">
        <f t="shared" si="141"/>
        <v>0</v>
      </c>
      <c r="AE151">
        <f t="shared" si="142"/>
        <v>0</v>
      </c>
      <c r="AF151">
        <f t="shared" si="143"/>
        <v>2042.62</v>
      </c>
      <c r="AG151">
        <f t="shared" si="144"/>
        <v>0</v>
      </c>
      <c r="AH151">
        <f t="shared" si="145"/>
        <v>192.7</v>
      </c>
      <c r="AI151">
        <f t="shared" si="146"/>
        <v>0</v>
      </c>
      <c r="AJ151">
        <f t="shared" si="147"/>
        <v>0</v>
      </c>
      <c r="AK151">
        <v>2042.62</v>
      </c>
      <c r="AL151">
        <v>0</v>
      </c>
      <c r="AM151">
        <v>0</v>
      </c>
      <c r="AN151">
        <v>0</v>
      </c>
      <c r="AO151">
        <v>2042.62</v>
      </c>
      <c r="AP151">
        <v>0</v>
      </c>
      <c r="AQ151">
        <v>192.7</v>
      </c>
      <c r="AR151">
        <v>0</v>
      </c>
      <c r="AS151">
        <v>0</v>
      </c>
      <c r="AT151">
        <v>85</v>
      </c>
      <c r="AU151">
        <v>41</v>
      </c>
      <c r="AV151">
        <v>1</v>
      </c>
      <c r="AW151">
        <v>1</v>
      </c>
      <c r="AZ151">
        <v>1</v>
      </c>
      <c r="BA151">
        <v>25.13</v>
      </c>
      <c r="BB151">
        <v>1</v>
      </c>
      <c r="BC151">
        <v>1</v>
      </c>
      <c r="BD151" t="s">
        <v>3</v>
      </c>
      <c r="BE151" t="s">
        <v>3</v>
      </c>
      <c r="BF151" t="s">
        <v>3</v>
      </c>
      <c r="BG151" t="s">
        <v>3</v>
      </c>
      <c r="BH151">
        <v>0</v>
      </c>
      <c r="BI151">
        <v>1</v>
      </c>
      <c r="BJ151" t="s">
        <v>205</v>
      </c>
      <c r="BM151">
        <v>16</v>
      </c>
      <c r="BN151">
        <v>0</v>
      </c>
      <c r="BO151" t="s">
        <v>203</v>
      </c>
      <c r="BP151">
        <v>1</v>
      </c>
      <c r="BQ151">
        <v>30</v>
      </c>
      <c r="BR151">
        <v>0</v>
      </c>
      <c r="BS151">
        <v>25.13</v>
      </c>
      <c r="BT151">
        <v>1</v>
      </c>
      <c r="BU151">
        <v>1</v>
      </c>
      <c r="BV151">
        <v>1</v>
      </c>
      <c r="BW151">
        <v>1</v>
      </c>
      <c r="BX151">
        <v>1</v>
      </c>
      <c r="BY151" t="s">
        <v>3</v>
      </c>
      <c r="BZ151">
        <v>85</v>
      </c>
      <c r="CA151">
        <v>41</v>
      </c>
      <c r="CE151">
        <v>30</v>
      </c>
      <c r="CF151">
        <v>0</v>
      </c>
      <c r="CG151">
        <v>0</v>
      </c>
      <c r="CM151">
        <v>0</v>
      </c>
      <c r="CN151" t="s">
        <v>3</v>
      </c>
      <c r="CO151">
        <v>0</v>
      </c>
      <c r="CP151">
        <f t="shared" si="148"/>
        <v>739.07</v>
      </c>
      <c r="CQ151">
        <f t="shared" si="149"/>
        <v>0</v>
      </c>
      <c r="CR151">
        <f t="shared" si="150"/>
        <v>0</v>
      </c>
      <c r="CS151">
        <f t="shared" si="151"/>
        <v>0</v>
      </c>
      <c r="CT151">
        <f t="shared" si="152"/>
        <v>51331.040000000001</v>
      </c>
      <c r="CU151">
        <f t="shared" si="153"/>
        <v>0</v>
      </c>
      <c r="CV151">
        <f t="shared" si="154"/>
        <v>192.7</v>
      </c>
      <c r="CW151">
        <f t="shared" si="155"/>
        <v>0</v>
      </c>
      <c r="CX151">
        <f t="shared" si="156"/>
        <v>0</v>
      </c>
      <c r="CY151">
        <f>S151*(BZ151/100)</f>
        <v>628.20950000000005</v>
      </c>
      <c r="CZ151">
        <f>S151*(CA151/100)</f>
        <v>303.01870000000002</v>
      </c>
      <c r="DC151" t="s">
        <v>3</v>
      </c>
      <c r="DD151" t="s">
        <v>3</v>
      </c>
      <c r="DE151" t="s">
        <v>3</v>
      </c>
      <c r="DF151" t="s">
        <v>3</v>
      </c>
      <c r="DG151" t="s">
        <v>3</v>
      </c>
      <c r="DH151" t="s">
        <v>3</v>
      </c>
      <c r="DI151" t="s">
        <v>3</v>
      </c>
      <c r="DJ151" t="s">
        <v>3</v>
      </c>
      <c r="DK151" t="s">
        <v>3</v>
      </c>
      <c r="DL151" t="s">
        <v>3</v>
      </c>
      <c r="DM151" t="s">
        <v>3</v>
      </c>
      <c r="DN151">
        <v>105</v>
      </c>
      <c r="DO151">
        <v>77</v>
      </c>
      <c r="DP151">
        <v>1</v>
      </c>
      <c r="DQ151">
        <v>1</v>
      </c>
      <c r="DU151">
        <v>1013</v>
      </c>
      <c r="DV151" t="s">
        <v>198</v>
      </c>
      <c r="DW151" t="s">
        <v>198</v>
      </c>
      <c r="DX151">
        <v>1</v>
      </c>
      <c r="EE151">
        <v>45706520</v>
      </c>
      <c r="EF151">
        <v>30</v>
      </c>
      <c r="EG151" t="s">
        <v>58</v>
      </c>
      <c r="EH151">
        <v>0</v>
      </c>
      <c r="EI151" t="s">
        <v>3</v>
      </c>
      <c r="EJ151">
        <v>1</v>
      </c>
      <c r="EK151">
        <v>16</v>
      </c>
      <c r="EL151" t="s">
        <v>206</v>
      </c>
      <c r="EM151" t="s">
        <v>207</v>
      </c>
      <c r="EO151" t="s">
        <v>3</v>
      </c>
      <c r="EQ151">
        <v>0</v>
      </c>
      <c r="ER151">
        <v>2042.62</v>
      </c>
      <c r="ES151">
        <v>0</v>
      </c>
      <c r="ET151">
        <v>0</v>
      </c>
      <c r="EU151">
        <v>0</v>
      </c>
      <c r="EV151">
        <v>2042.62</v>
      </c>
      <c r="EW151">
        <v>192.7</v>
      </c>
      <c r="EX151">
        <v>0</v>
      </c>
      <c r="EY151">
        <v>0</v>
      </c>
      <c r="FQ151">
        <v>0</v>
      </c>
      <c r="FR151">
        <f t="shared" si="157"/>
        <v>0</v>
      </c>
      <c r="FS151">
        <v>0</v>
      </c>
      <c r="FX151">
        <v>105</v>
      </c>
      <c r="FY151">
        <v>77</v>
      </c>
      <c r="GA151" t="s">
        <v>3</v>
      </c>
      <c r="GD151">
        <v>0</v>
      </c>
      <c r="GF151">
        <v>-1632341149</v>
      </c>
      <c r="GG151">
        <v>2</v>
      </c>
      <c r="GH151">
        <v>1</v>
      </c>
      <c r="GI151">
        <v>2</v>
      </c>
      <c r="GJ151">
        <v>0</v>
      </c>
      <c r="GK151">
        <f>ROUND(R151*(S12)/100,2)</f>
        <v>0</v>
      </c>
      <c r="GL151">
        <f t="shared" si="158"/>
        <v>0</v>
      </c>
      <c r="GM151">
        <f t="shared" si="159"/>
        <v>1670.3</v>
      </c>
      <c r="GN151">
        <f t="shared" si="160"/>
        <v>1670.3</v>
      </c>
      <c r="GO151">
        <f t="shared" si="161"/>
        <v>0</v>
      </c>
      <c r="GP151">
        <f t="shared" si="162"/>
        <v>0</v>
      </c>
      <c r="GR151">
        <v>0</v>
      </c>
      <c r="GS151">
        <v>0</v>
      </c>
      <c r="GT151">
        <v>0</v>
      </c>
      <c r="GU151" t="s">
        <v>3</v>
      </c>
      <c r="GV151">
        <f t="shared" si="163"/>
        <v>0</v>
      </c>
      <c r="GW151">
        <v>1</v>
      </c>
      <c r="GX151">
        <f t="shared" si="164"/>
        <v>0</v>
      </c>
      <c r="HA151">
        <v>0</v>
      </c>
      <c r="HB151">
        <v>0</v>
      </c>
      <c r="HC151">
        <f t="shared" si="165"/>
        <v>0</v>
      </c>
      <c r="HE151" t="s">
        <v>3</v>
      </c>
      <c r="HF151" t="s">
        <v>3</v>
      </c>
      <c r="IK151">
        <v>0</v>
      </c>
    </row>
    <row r="152" spans="1:255" x14ac:dyDescent="0.2">
      <c r="A152" s="2">
        <v>17</v>
      </c>
      <c r="B152" s="2">
        <v>1</v>
      </c>
      <c r="C152" s="2">
        <f>ROW(SmtRes!A105)</f>
        <v>105</v>
      </c>
      <c r="D152" s="2">
        <f>ROW(EtalonRes!A105)</f>
        <v>105</v>
      </c>
      <c r="E152" s="2" t="s">
        <v>208</v>
      </c>
      <c r="F152" s="2" t="s">
        <v>196</v>
      </c>
      <c r="G152" s="2" t="s">
        <v>209</v>
      </c>
      <c r="H152" s="2" t="s">
        <v>198</v>
      </c>
      <c r="I152" s="2">
        <f>ROUND((I150)*0.9,9)</f>
        <v>1.2959999999999999E-2</v>
      </c>
      <c r="J152" s="2">
        <v>0</v>
      </c>
      <c r="K152" s="2"/>
      <c r="L152" s="2"/>
      <c r="M152" s="2"/>
      <c r="N152" s="2"/>
      <c r="O152" s="2">
        <f t="shared" si="128"/>
        <v>10</v>
      </c>
      <c r="P152" s="2">
        <f t="shared" si="129"/>
        <v>0</v>
      </c>
      <c r="Q152" s="2">
        <f t="shared" si="130"/>
        <v>9.82</v>
      </c>
      <c r="R152" s="2">
        <f t="shared" si="131"/>
        <v>1.82</v>
      </c>
      <c r="S152" s="2">
        <f t="shared" si="132"/>
        <v>0.18</v>
      </c>
      <c r="T152" s="2">
        <f t="shared" si="133"/>
        <v>0</v>
      </c>
      <c r="U152" s="2">
        <f t="shared" si="134"/>
        <v>1.7884799999999999E-2</v>
      </c>
      <c r="V152" s="2">
        <f t="shared" si="135"/>
        <v>0</v>
      </c>
      <c r="W152" s="2">
        <f t="shared" si="136"/>
        <v>0</v>
      </c>
      <c r="X152" s="2">
        <f t="shared" si="137"/>
        <v>0.18</v>
      </c>
      <c r="Y152" s="2">
        <f t="shared" si="138"/>
        <v>0.14000000000000001</v>
      </c>
      <c r="Z152" s="2"/>
      <c r="AA152" s="2">
        <v>45748053</v>
      </c>
      <c r="AB152" s="2">
        <f t="shared" si="139"/>
        <v>771.65</v>
      </c>
      <c r="AC152" s="2">
        <f t="shared" si="140"/>
        <v>0</v>
      </c>
      <c r="AD152" s="2">
        <f t="shared" si="141"/>
        <v>757.55</v>
      </c>
      <c r="AE152" s="2">
        <f t="shared" si="142"/>
        <v>140.47999999999999</v>
      </c>
      <c r="AF152" s="2">
        <f t="shared" si="143"/>
        <v>14.1</v>
      </c>
      <c r="AG152" s="2">
        <f t="shared" si="144"/>
        <v>0</v>
      </c>
      <c r="AH152" s="2">
        <f t="shared" si="145"/>
        <v>1.38</v>
      </c>
      <c r="AI152" s="2">
        <f t="shared" si="146"/>
        <v>0</v>
      </c>
      <c r="AJ152" s="2">
        <f t="shared" si="147"/>
        <v>0</v>
      </c>
      <c r="AK152" s="2">
        <v>771.65</v>
      </c>
      <c r="AL152" s="2">
        <v>0</v>
      </c>
      <c r="AM152" s="2">
        <v>757.55</v>
      </c>
      <c r="AN152" s="2">
        <v>140.47999999999999</v>
      </c>
      <c r="AO152" s="2">
        <v>14.1</v>
      </c>
      <c r="AP152" s="2">
        <v>0</v>
      </c>
      <c r="AQ152" s="2">
        <v>1.38</v>
      </c>
      <c r="AR152" s="2">
        <v>0</v>
      </c>
      <c r="AS152" s="2">
        <v>0</v>
      </c>
      <c r="AT152" s="2">
        <v>98</v>
      </c>
      <c r="AU152" s="2">
        <v>77</v>
      </c>
      <c r="AV152" s="2">
        <v>1</v>
      </c>
      <c r="AW152" s="2">
        <v>1</v>
      </c>
      <c r="AX152" s="2"/>
      <c r="AY152" s="2"/>
      <c r="AZ152" s="2">
        <v>1</v>
      </c>
      <c r="BA152" s="2">
        <v>1</v>
      </c>
      <c r="BB152" s="2">
        <v>1</v>
      </c>
      <c r="BC152" s="2">
        <v>1</v>
      </c>
      <c r="BD152" s="2" t="s">
        <v>3</v>
      </c>
      <c r="BE152" s="2" t="s">
        <v>3</v>
      </c>
      <c r="BF152" s="2" t="s">
        <v>3</v>
      </c>
      <c r="BG152" s="2" t="s">
        <v>3</v>
      </c>
      <c r="BH152" s="2">
        <v>0</v>
      </c>
      <c r="BI152" s="2">
        <v>1</v>
      </c>
      <c r="BJ152" s="2" t="s">
        <v>210</v>
      </c>
      <c r="BK152" s="2"/>
      <c r="BL152" s="2"/>
      <c r="BM152" s="2">
        <v>2</v>
      </c>
      <c r="BN152" s="2">
        <v>0</v>
      </c>
      <c r="BO152" s="2" t="s">
        <v>3</v>
      </c>
      <c r="BP152" s="2">
        <v>0</v>
      </c>
      <c r="BQ152" s="2">
        <v>30</v>
      </c>
      <c r="BR152" s="2">
        <v>0</v>
      </c>
      <c r="BS152" s="2">
        <v>1</v>
      </c>
      <c r="BT152" s="2">
        <v>1</v>
      </c>
      <c r="BU152" s="2">
        <v>1</v>
      </c>
      <c r="BV152" s="2">
        <v>1</v>
      </c>
      <c r="BW152" s="2">
        <v>1</v>
      </c>
      <c r="BX152" s="2">
        <v>1</v>
      </c>
      <c r="BY152" s="2" t="s">
        <v>3</v>
      </c>
      <c r="BZ152" s="2">
        <v>98</v>
      </c>
      <c r="CA152" s="2">
        <v>77</v>
      </c>
      <c r="CB152" s="2"/>
      <c r="CC152" s="2"/>
      <c r="CD152" s="2"/>
      <c r="CE152" s="2">
        <v>30</v>
      </c>
      <c r="CF152" s="2">
        <v>0</v>
      </c>
      <c r="CG152" s="2">
        <v>0</v>
      </c>
      <c r="CH152" s="2"/>
      <c r="CI152" s="2"/>
      <c r="CJ152" s="2"/>
      <c r="CK152" s="2"/>
      <c r="CL152" s="2"/>
      <c r="CM152" s="2">
        <v>0</v>
      </c>
      <c r="CN152" s="2" t="s">
        <v>3</v>
      </c>
      <c r="CO152" s="2">
        <v>0</v>
      </c>
      <c r="CP152" s="2">
        <f t="shared" si="148"/>
        <v>10</v>
      </c>
      <c r="CQ152" s="2">
        <f t="shared" si="149"/>
        <v>0</v>
      </c>
      <c r="CR152" s="2">
        <f t="shared" si="150"/>
        <v>757.55</v>
      </c>
      <c r="CS152" s="2">
        <f t="shared" si="151"/>
        <v>140.47999999999999</v>
      </c>
      <c r="CT152" s="2">
        <f t="shared" si="152"/>
        <v>14.1</v>
      </c>
      <c r="CU152" s="2">
        <f t="shared" si="153"/>
        <v>0</v>
      </c>
      <c r="CV152" s="2">
        <f t="shared" si="154"/>
        <v>1.38</v>
      </c>
      <c r="CW152" s="2">
        <f t="shared" si="155"/>
        <v>0</v>
      </c>
      <c r="CX152" s="2">
        <f t="shared" si="156"/>
        <v>0</v>
      </c>
      <c r="CY152" s="2">
        <f>((S152*BZ152)/100)</f>
        <v>0.1764</v>
      </c>
      <c r="CZ152" s="2">
        <f>((S152*CA152)/100)</f>
        <v>0.1386</v>
      </c>
      <c r="DA152" s="2"/>
      <c r="DB152" s="2"/>
      <c r="DC152" s="2" t="s">
        <v>3</v>
      </c>
      <c r="DD152" s="2" t="s">
        <v>3</v>
      </c>
      <c r="DE152" s="2" t="s">
        <v>3</v>
      </c>
      <c r="DF152" s="2" t="s">
        <v>3</v>
      </c>
      <c r="DG152" s="2" t="s">
        <v>3</v>
      </c>
      <c r="DH152" s="2" t="s">
        <v>3</v>
      </c>
      <c r="DI152" s="2" t="s">
        <v>3</v>
      </c>
      <c r="DJ152" s="2" t="s">
        <v>3</v>
      </c>
      <c r="DK152" s="2" t="s">
        <v>3</v>
      </c>
      <c r="DL152" s="2" t="s">
        <v>3</v>
      </c>
      <c r="DM152" s="2" t="s">
        <v>3</v>
      </c>
      <c r="DN152" s="2">
        <v>0</v>
      </c>
      <c r="DO152" s="2">
        <v>0</v>
      </c>
      <c r="DP152" s="2">
        <v>1</v>
      </c>
      <c r="DQ152" s="2">
        <v>1</v>
      </c>
      <c r="DR152" s="2"/>
      <c r="DS152" s="2"/>
      <c r="DT152" s="2"/>
      <c r="DU152" s="2">
        <v>1013</v>
      </c>
      <c r="DV152" s="2" t="s">
        <v>198</v>
      </c>
      <c r="DW152" s="2" t="s">
        <v>198</v>
      </c>
      <c r="DX152" s="2">
        <v>1</v>
      </c>
      <c r="DY152" s="2"/>
      <c r="DZ152" s="2"/>
      <c r="EA152" s="2"/>
      <c r="EB152" s="2"/>
      <c r="EC152" s="2"/>
      <c r="ED152" s="2"/>
      <c r="EE152" s="2">
        <v>45706506</v>
      </c>
      <c r="EF152" s="2">
        <v>30</v>
      </c>
      <c r="EG152" s="2" t="s">
        <v>58</v>
      </c>
      <c r="EH152" s="2">
        <v>0</v>
      </c>
      <c r="EI152" s="2" t="s">
        <v>3</v>
      </c>
      <c r="EJ152" s="2">
        <v>1</v>
      </c>
      <c r="EK152" s="2">
        <v>2</v>
      </c>
      <c r="EL152" s="2" t="s">
        <v>200</v>
      </c>
      <c r="EM152" s="2" t="s">
        <v>201</v>
      </c>
      <c r="EN152" s="2"/>
      <c r="EO152" s="2" t="s">
        <v>3</v>
      </c>
      <c r="EP152" s="2"/>
      <c r="EQ152" s="2">
        <v>0</v>
      </c>
      <c r="ER152" s="2">
        <v>771.65</v>
      </c>
      <c r="ES152" s="2">
        <v>0</v>
      </c>
      <c r="ET152" s="2">
        <v>757.55</v>
      </c>
      <c r="EU152" s="2">
        <v>140.47999999999999</v>
      </c>
      <c r="EV152" s="2">
        <v>14.1</v>
      </c>
      <c r="EW152" s="2">
        <v>1.38</v>
      </c>
      <c r="EX152" s="2">
        <v>0</v>
      </c>
      <c r="EY152" s="2">
        <v>0</v>
      </c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>
        <v>0</v>
      </c>
      <c r="FR152" s="2">
        <f t="shared" si="157"/>
        <v>0</v>
      </c>
      <c r="FS152" s="2">
        <v>0</v>
      </c>
      <c r="FT152" s="2"/>
      <c r="FU152" s="2"/>
      <c r="FV152" s="2"/>
      <c r="FW152" s="2"/>
      <c r="FX152" s="2">
        <v>98</v>
      </c>
      <c r="FY152" s="2">
        <v>77</v>
      </c>
      <c r="FZ152" s="2"/>
      <c r="GA152" s="2" t="s">
        <v>3</v>
      </c>
      <c r="GB152" s="2"/>
      <c r="GC152" s="2"/>
      <c r="GD152" s="2">
        <v>0</v>
      </c>
      <c r="GE152" s="2"/>
      <c r="GF152" s="2">
        <v>750734510</v>
      </c>
      <c r="GG152" s="2">
        <v>2</v>
      </c>
      <c r="GH152" s="2">
        <v>1</v>
      </c>
      <c r="GI152" s="2">
        <v>-2</v>
      </c>
      <c r="GJ152" s="2">
        <v>0</v>
      </c>
      <c r="GK152" s="2">
        <f>ROUND(R152*(R12)/100,2)</f>
        <v>3.19</v>
      </c>
      <c r="GL152" s="2">
        <f t="shared" si="158"/>
        <v>0</v>
      </c>
      <c r="GM152" s="2">
        <f t="shared" si="159"/>
        <v>13.51</v>
      </c>
      <c r="GN152" s="2">
        <f t="shared" si="160"/>
        <v>13.51</v>
      </c>
      <c r="GO152" s="2">
        <f t="shared" si="161"/>
        <v>0</v>
      </c>
      <c r="GP152" s="2">
        <f t="shared" si="162"/>
        <v>0</v>
      </c>
      <c r="GQ152" s="2"/>
      <c r="GR152" s="2">
        <v>0</v>
      </c>
      <c r="GS152" s="2">
        <v>0</v>
      </c>
      <c r="GT152" s="2">
        <v>0</v>
      </c>
      <c r="GU152" s="2" t="s">
        <v>3</v>
      </c>
      <c r="GV152" s="2">
        <f t="shared" si="163"/>
        <v>0</v>
      </c>
      <c r="GW152" s="2">
        <v>1</v>
      </c>
      <c r="GX152" s="2">
        <f t="shared" si="164"/>
        <v>0</v>
      </c>
      <c r="GY152" s="2"/>
      <c r="GZ152" s="2"/>
      <c r="HA152" s="2">
        <v>0</v>
      </c>
      <c r="HB152" s="2">
        <v>0</v>
      </c>
      <c r="HC152" s="2">
        <f t="shared" si="165"/>
        <v>0</v>
      </c>
      <c r="HD152" s="2"/>
      <c r="HE152" s="2" t="s">
        <v>3</v>
      </c>
      <c r="HF152" s="2" t="s">
        <v>3</v>
      </c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>
        <v>0</v>
      </c>
      <c r="IL152" s="2"/>
      <c r="IM152" s="2"/>
      <c r="IN152" s="2"/>
      <c r="IO152" s="2"/>
      <c r="IP152" s="2"/>
      <c r="IQ152" s="2"/>
      <c r="IR152" s="2"/>
      <c r="IS152" s="2"/>
      <c r="IT152" s="2"/>
      <c r="IU152" s="2"/>
    </row>
    <row r="153" spans="1:255" x14ac:dyDescent="0.2">
      <c r="A153">
        <v>17</v>
      </c>
      <c r="B153">
        <v>1</v>
      </c>
      <c r="C153">
        <f>ROW(SmtRes!A108)</f>
        <v>108</v>
      </c>
      <c r="D153">
        <f>ROW(EtalonRes!A108)</f>
        <v>108</v>
      </c>
      <c r="E153" t="s">
        <v>208</v>
      </c>
      <c r="F153" t="s">
        <v>196</v>
      </c>
      <c r="G153" t="s">
        <v>209</v>
      </c>
      <c r="H153" t="s">
        <v>198</v>
      </c>
      <c r="I153">
        <f>ROUND((I151)*0.9,9)</f>
        <v>1.2959999999999999E-2</v>
      </c>
      <c r="J153">
        <v>0</v>
      </c>
      <c r="O153">
        <f t="shared" si="128"/>
        <v>107.96</v>
      </c>
      <c r="P153">
        <f t="shared" si="129"/>
        <v>0</v>
      </c>
      <c r="Q153">
        <f t="shared" si="130"/>
        <v>103.44</v>
      </c>
      <c r="R153">
        <f t="shared" si="131"/>
        <v>42.97</v>
      </c>
      <c r="S153">
        <f t="shared" si="132"/>
        <v>4.5199999999999996</v>
      </c>
      <c r="T153">
        <f t="shared" si="133"/>
        <v>0</v>
      </c>
      <c r="U153">
        <f t="shared" si="134"/>
        <v>1.7884799999999999E-2</v>
      </c>
      <c r="V153">
        <f t="shared" si="135"/>
        <v>0</v>
      </c>
      <c r="W153">
        <f t="shared" si="136"/>
        <v>0</v>
      </c>
      <c r="X153">
        <f t="shared" si="137"/>
        <v>4.16</v>
      </c>
      <c r="Y153">
        <f t="shared" si="138"/>
        <v>2.2599999999999998</v>
      </c>
      <c r="AA153">
        <v>45747932</v>
      </c>
      <c r="AB153">
        <f t="shared" si="139"/>
        <v>822.68</v>
      </c>
      <c r="AC153">
        <f t="shared" si="140"/>
        <v>0</v>
      </c>
      <c r="AD153">
        <f t="shared" si="141"/>
        <v>808.58</v>
      </c>
      <c r="AE153">
        <f t="shared" si="142"/>
        <v>131.69</v>
      </c>
      <c r="AF153">
        <f t="shared" si="143"/>
        <v>14.1</v>
      </c>
      <c r="AG153">
        <f t="shared" si="144"/>
        <v>0</v>
      </c>
      <c r="AH153">
        <f t="shared" si="145"/>
        <v>1.38</v>
      </c>
      <c r="AI153">
        <f t="shared" si="146"/>
        <v>0</v>
      </c>
      <c r="AJ153">
        <f t="shared" si="147"/>
        <v>0</v>
      </c>
      <c r="AK153">
        <v>822.68</v>
      </c>
      <c r="AL153">
        <v>0</v>
      </c>
      <c r="AM153">
        <v>808.58</v>
      </c>
      <c r="AN153">
        <v>131.69</v>
      </c>
      <c r="AO153">
        <v>14.1</v>
      </c>
      <c r="AP153">
        <v>0</v>
      </c>
      <c r="AQ153">
        <v>1.38</v>
      </c>
      <c r="AR153">
        <v>0</v>
      </c>
      <c r="AS153">
        <v>0</v>
      </c>
      <c r="AT153">
        <v>92</v>
      </c>
      <c r="AU153">
        <v>50</v>
      </c>
      <c r="AV153">
        <v>1</v>
      </c>
      <c r="AW153">
        <v>1</v>
      </c>
      <c r="AZ153">
        <v>1</v>
      </c>
      <c r="BA153">
        <v>25.13</v>
      </c>
      <c r="BB153">
        <v>9.8699999999999992</v>
      </c>
      <c r="BC153">
        <v>1</v>
      </c>
      <c r="BD153" t="s">
        <v>3</v>
      </c>
      <c r="BE153" t="s">
        <v>3</v>
      </c>
      <c r="BF153" t="s">
        <v>3</v>
      </c>
      <c r="BG153" t="s">
        <v>3</v>
      </c>
      <c r="BH153">
        <v>0</v>
      </c>
      <c r="BI153">
        <v>1</v>
      </c>
      <c r="BJ153" t="s">
        <v>210</v>
      </c>
      <c r="BM153">
        <v>2</v>
      </c>
      <c r="BN153">
        <v>0</v>
      </c>
      <c r="BO153" t="s">
        <v>196</v>
      </c>
      <c r="BP153">
        <v>1</v>
      </c>
      <c r="BQ153">
        <v>30</v>
      </c>
      <c r="BR153">
        <v>0</v>
      </c>
      <c r="BS153">
        <v>25.13</v>
      </c>
      <c r="BT153">
        <v>1</v>
      </c>
      <c r="BU153">
        <v>1</v>
      </c>
      <c r="BV153">
        <v>1</v>
      </c>
      <c r="BW153">
        <v>1</v>
      </c>
      <c r="BX153">
        <v>1</v>
      </c>
      <c r="BY153" t="s">
        <v>3</v>
      </c>
      <c r="BZ153">
        <v>92</v>
      </c>
      <c r="CA153">
        <v>50</v>
      </c>
      <c r="CE153">
        <v>30</v>
      </c>
      <c r="CF153">
        <v>0</v>
      </c>
      <c r="CG153">
        <v>0</v>
      </c>
      <c r="CM153">
        <v>0</v>
      </c>
      <c r="CN153" t="s">
        <v>3</v>
      </c>
      <c r="CO153">
        <v>0</v>
      </c>
      <c r="CP153">
        <f t="shared" si="148"/>
        <v>107.96</v>
      </c>
      <c r="CQ153">
        <f t="shared" si="149"/>
        <v>0</v>
      </c>
      <c r="CR153">
        <f t="shared" si="150"/>
        <v>7980.68</v>
      </c>
      <c r="CS153">
        <f t="shared" si="151"/>
        <v>3309.37</v>
      </c>
      <c r="CT153">
        <f t="shared" si="152"/>
        <v>354.33</v>
      </c>
      <c r="CU153">
        <f t="shared" si="153"/>
        <v>0</v>
      </c>
      <c r="CV153">
        <f t="shared" si="154"/>
        <v>1.38</v>
      </c>
      <c r="CW153">
        <f t="shared" si="155"/>
        <v>0</v>
      </c>
      <c r="CX153">
        <f t="shared" si="156"/>
        <v>0</v>
      </c>
      <c r="CY153">
        <f>S153*(BZ153/100)</f>
        <v>4.1583999999999994</v>
      </c>
      <c r="CZ153">
        <f>S153*(CA153/100)</f>
        <v>2.2599999999999998</v>
      </c>
      <c r="DC153" t="s">
        <v>3</v>
      </c>
      <c r="DD153" t="s">
        <v>3</v>
      </c>
      <c r="DE153" t="s">
        <v>3</v>
      </c>
      <c r="DF153" t="s">
        <v>3</v>
      </c>
      <c r="DG153" t="s">
        <v>3</v>
      </c>
      <c r="DH153" t="s">
        <v>3</v>
      </c>
      <c r="DI153" t="s">
        <v>3</v>
      </c>
      <c r="DJ153" t="s">
        <v>3</v>
      </c>
      <c r="DK153" t="s">
        <v>3</v>
      </c>
      <c r="DL153" t="s">
        <v>3</v>
      </c>
      <c r="DM153" t="s">
        <v>3</v>
      </c>
      <c r="DN153">
        <v>98</v>
      </c>
      <c r="DO153">
        <v>77</v>
      </c>
      <c r="DP153">
        <v>1</v>
      </c>
      <c r="DQ153">
        <v>1</v>
      </c>
      <c r="DU153">
        <v>1013</v>
      </c>
      <c r="DV153" t="s">
        <v>198</v>
      </c>
      <c r="DW153" t="s">
        <v>198</v>
      </c>
      <c r="DX153">
        <v>1</v>
      </c>
      <c r="EE153">
        <v>45706506</v>
      </c>
      <c r="EF153">
        <v>30</v>
      </c>
      <c r="EG153" t="s">
        <v>58</v>
      </c>
      <c r="EH153">
        <v>0</v>
      </c>
      <c r="EI153" t="s">
        <v>3</v>
      </c>
      <c r="EJ153">
        <v>1</v>
      </c>
      <c r="EK153">
        <v>2</v>
      </c>
      <c r="EL153" t="s">
        <v>200</v>
      </c>
      <c r="EM153" t="s">
        <v>201</v>
      </c>
      <c r="EO153" t="s">
        <v>3</v>
      </c>
      <c r="EQ153">
        <v>0</v>
      </c>
      <c r="ER153">
        <v>822.68</v>
      </c>
      <c r="ES153">
        <v>0</v>
      </c>
      <c r="ET153">
        <v>808.58</v>
      </c>
      <c r="EU153">
        <v>131.69</v>
      </c>
      <c r="EV153">
        <v>14.1</v>
      </c>
      <c r="EW153">
        <v>1.38</v>
      </c>
      <c r="EX153">
        <v>0</v>
      </c>
      <c r="EY153">
        <v>0</v>
      </c>
      <c r="FQ153">
        <v>0</v>
      </c>
      <c r="FR153">
        <f t="shared" si="157"/>
        <v>0</v>
      </c>
      <c r="FS153">
        <v>0</v>
      </c>
      <c r="FX153">
        <v>98</v>
      </c>
      <c r="FY153">
        <v>77</v>
      </c>
      <c r="GA153" t="s">
        <v>3</v>
      </c>
      <c r="GD153">
        <v>0</v>
      </c>
      <c r="GF153">
        <v>750734510</v>
      </c>
      <c r="GG153">
        <v>2</v>
      </c>
      <c r="GH153">
        <v>1</v>
      </c>
      <c r="GI153">
        <v>2</v>
      </c>
      <c r="GJ153">
        <v>0</v>
      </c>
      <c r="GK153">
        <f>ROUND(R153*(S12)/100,2)</f>
        <v>67.459999999999994</v>
      </c>
      <c r="GL153">
        <f t="shared" si="158"/>
        <v>0</v>
      </c>
      <c r="GM153">
        <f t="shared" si="159"/>
        <v>181.84</v>
      </c>
      <c r="GN153">
        <f t="shared" si="160"/>
        <v>181.84</v>
      </c>
      <c r="GO153">
        <f t="shared" si="161"/>
        <v>0</v>
      </c>
      <c r="GP153">
        <f t="shared" si="162"/>
        <v>0</v>
      </c>
      <c r="GR153">
        <v>0</v>
      </c>
      <c r="GS153">
        <v>0</v>
      </c>
      <c r="GT153">
        <v>0</v>
      </c>
      <c r="GU153" t="s">
        <v>3</v>
      </c>
      <c r="GV153">
        <f t="shared" si="163"/>
        <v>0</v>
      </c>
      <c r="GW153">
        <v>1</v>
      </c>
      <c r="GX153">
        <f t="shared" si="164"/>
        <v>0</v>
      </c>
      <c r="HA153">
        <v>0</v>
      </c>
      <c r="HB153">
        <v>0</v>
      </c>
      <c r="HC153">
        <f t="shared" si="165"/>
        <v>0</v>
      </c>
      <c r="HE153" t="s">
        <v>3</v>
      </c>
      <c r="HF153" t="s">
        <v>3</v>
      </c>
      <c r="IK153">
        <v>0</v>
      </c>
    </row>
    <row r="154" spans="1:255" x14ac:dyDescent="0.2">
      <c r="A154" s="2">
        <v>17</v>
      </c>
      <c r="B154" s="2">
        <v>1</v>
      </c>
      <c r="C154" s="2">
        <f>ROW(SmtRes!A109)</f>
        <v>109</v>
      </c>
      <c r="D154" s="2">
        <f>ROW(EtalonRes!A109)</f>
        <v>109</v>
      </c>
      <c r="E154" s="2" t="s">
        <v>211</v>
      </c>
      <c r="F154" s="2" t="s">
        <v>212</v>
      </c>
      <c r="G154" s="2" t="s">
        <v>213</v>
      </c>
      <c r="H154" s="2" t="s">
        <v>198</v>
      </c>
      <c r="I154" s="2">
        <f>ROUND((I152)/0.9*0.1,9)</f>
        <v>1.4400000000000001E-3</v>
      </c>
      <c r="J154" s="2">
        <v>0</v>
      </c>
      <c r="K154" s="2"/>
      <c r="L154" s="2"/>
      <c r="M154" s="2"/>
      <c r="N154" s="2"/>
      <c r="O154" s="2">
        <f t="shared" si="128"/>
        <v>1.1499999999999999</v>
      </c>
      <c r="P154" s="2">
        <f t="shared" si="129"/>
        <v>0</v>
      </c>
      <c r="Q154" s="2">
        <f t="shared" si="130"/>
        <v>0</v>
      </c>
      <c r="R154" s="2">
        <f t="shared" si="131"/>
        <v>0</v>
      </c>
      <c r="S154" s="2">
        <f t="shared" si="132"/>
        <v>1.1499999999999999</v>
      </c>
      <c r="T154" s="2">
        <f t="shared" si="133"/>
        <v>0</v>
      </c>
      <c r="U154" s="2">
        <f t="shared" si="134"/>
        <v>0.11952</v>
      </c>
      <c r="V154" s="2">
        <f t="shared" si="135"/>
        <v>0</v>
      </c>
      <c r="W154" s="2">
        <f t="shared" si="136"/>
        <v>0</v>
      </c>
      <c r="X154" s="2">
        <f t="shared" si="137"/>
        <v>1.05</v>
      </c>
      <c r="Y154" s="2">
        <f t="shared" si="138"/>
        <v>0.77</v>
      </c>
      <c r="Z154" s="2"/>
      <c r="AA154" s="2">
        <v>45748053</v>
      </c>
      <c r="AB154" s="2">
        <f t="shared" si="139"/>
        <v>795.14</v>
      </c>
      <c r="AC154" s="2">
        <f t="shared" si="140"/>
        <v>0</v>
      </c>
      <c r="AD154" s="2">
        <f t="shared" si="141"/>
        <v>0</v>
      </c>
      <c r="AE154" s="2">
        <f t="shared" si="142"/>
        <v>0</v>
      </c>
      <c r="AF154" s="2">
        <f t="shared" si="143"/>
        <v>795.14</v>
      </c>
      <c r="AG154" s="2">
        <f t="shared" si="144"/>
        <v>0</v>
      </c>
      <c r="AH154" s="2">
        <f t="shared" si="145"/>
        <v>83</v>
      </c>
      <c r="AI154" s="2">
        <f t="shared" si="146"/>
        <v>0</v>
      </c>
      <c r="AJ154" s="2">
        <f t="shared" si="147"/>
        <v>0</v>
      </c>
      <c r="AK154" s="2">
        <v>795.14</v>
      </c>
      <c r="AL154" s="2">
        <v>0</v>
      </c>
      <c r="AM154" s="2">
        <v>0</v>
      </c>
      <c r="AN154" s="2">
        <v>0</v>
      </c>
      <c r="AO154" s="2">
        <v>795.14</v>
      </c>
      <c r="AP154" s="2">
        <v>0</v>
      </c>
      <c r="AQ154" s="2">
        <v>83</v>
      </c>
      <c r="AR154" s="2">
        <v>0</v>
      </c>
      <c r="AS154" s="2">
        <v>0</v>
      </c>
      <c r="AT154" s="2">
        <v>91</v>
      </c>
      <c r="AU154" s="2">
        <v>67</v>
      </c>
      <c r="AV154" s="2">
        <v>1</v>
      </c>
      <c r="AW154" s="2">
        <v>1</v>
      </c>
      <c r="AX154" s="2"/>
      <c r="AY154" s="2"/>
      <c r="AZ154" s="2">
        <v>1</v>
      </c>
      <c r="BA154" s="2">
        <v>1</v>
      </c>
      <c r="BB154" s="2">
        <v>1</v>
      </c>
      <c r="BC154" s="2">
        <v>1</v>
      </c>
      <c r="BD154" s="2" t="s">
        <v>3</v>
      </c>
      <c r="BE154" s="2" t="s">
        <v>3</v>
      </c>
      <c r="BF154" s="2" t="s">
        <v>3</v>
      </c>
      <c r="BG154" s="2" t="s">
        <v>3</v>
      </c>
      <c r="BH154" s="2">
        <v>0</v>
      </c>
      <c r="BI154" s="2">
        <v>1</v>
      </c>
      <c r="BJ154" s="2" t="s">
        <v>214</v>
      </c>
      <c r="BK154" s="2"/>
      <c r="BL154" s="2"/>
      <c r="BM154" s="2">
        <v>393</v>
      </c>
      <c r="BN154" s="2">
        <v>0</v>
      </c>
      <c r="BO154" s="2" t="s">
        <v>3</v>
      </c>
      <c r="BP154" s="2">
        <v>0</v>
      </c>
      <c r="BQ154" s="2">
        <v>60</v>
      </c>
      <c r="BR154" s="2">
        <v>0</v>
      </c>
      <c r="BS154" s="2">
        <v>1</v>
      </c>
      <c r="BT154" s="2">
        <v>1</v>
      </c>
      <c r="BU154" s="2">
        <v>1</v>
      </c>
      <c r="BV154" s="2">
        <v>1</v>
      </c>
      <c r="BW154" s="2">
        <v>1</v>
      </c>
      <c r="BX154" s="2">
        <v>1</v>
      </c>
      <c r="BY154" s="2" t="s">
        <v>3</v>
      </c>
      <c r="BZ154" s="2">
        <v>91</v>
      </c>
      <c r="CA154" s="2">
        <v>67</v>
      </c>
      <c r="CB154" s="2"/>
      <c r="CC154" s="2"/>
      <c r="CD154" s="2"/>
      <c r="CE154" s="2">
        <v>30</v>
      </c>
      <c r="CF154" s="2">
        <v>0</v>
      </c>
      <c r="CG154" s="2">
        <v>0</v>
      </c>
      <c r="CH154" s="2"/>
      <c r="CI154" s="2"/>
      <c r="CJ154" s="2"/>
      <c r="CK154" s="2"/>
      <c r="CL154" s="2"/>
      <c r="CM154" s="2">
        <v>0</v>
      </c>
      <c r="CN154" s="2" t="s">
        <v>3</v>
      </c>
      <c r="CO154" s="2">
        <v>0</v>
      </c>
      <c r="CP154" s="2">
        <f t="shared" si="148"/>
        <v>1.1499999999999999</v>
      </c>
      <c r="CQ154" s="2">
        <f t="shared" si="149"/>
        <v>0</v>
      </c>
      <c r="CR154" s="2">
        <f t="shared" si="150"/>
        <v>0</v>
      </c>
      <c r="CS154" s="2">
        <f t="shared" si="151"/>
        <v>0</v>
      </c>
      <c r="CT154" s="2">
        <f t="shared" si="152"/>
        <v>795.14</v>
      </c>
      <c r="CU154" s="2">
        <f t="shared" si="153"/>
        <v>0</v>
      </c>
      <c r="CV154" s="2">
        <f t="shared" si="154"/>
        <v>83</v>
      </c>
      <c r="CW154" s="2">
        <f t="shared" si="155"/>
        <v>0</v>
      </c>
      <c r="CX154" s="2">
        <f t="shared" si="156"/>
        <v>0</v>
      </c>
      <c r="CY154" s="2">
        <f>((S154*BZ154)/100)</f>
        <v>1.0465</v>
      </c>
      <c r="CZ154" s="2">
        <f>((S154*CA154)/100)</f>
        <v>0.77049999999999996</v>
      </c>
      <c r="DA154" s="2"/>
      <c r="DB154" s="2"/>
      <c r="DC154" s="2" t="s">
        <v>3</v>
      </c>
      <c r="DD154" s="2" t="s">
        <v>3</v>
      </c>
      <c r="DE154" s="2" t="s">
        <v>3</v>
      </c>
      <c r="DF154" s="2" t="s">
        <v>3</v>
      </c>
      <c r="DG154" s="2" t="s">
        <v>3</v>
      </c>
      <c r="DH154" s="2" t="s">
        <v>3</v>
      </c>
      <c r="DI154" s="2" t="s">
        <v>3</v>
      </c>
      <c r="DJ154" s="2" t="s">
        <v>3</v>
      </c>
      <c r="DK154" s="2" t="s">
        <v>3</v>
      </c>
      <c r="DL154" s="2" t="s">
        <v>3</v>
      </c>
      <c r="DM154" s="2" t="s">
        <v>3</v>
      </c>
      <c r="DN154" s="2">
        <v>0</v>
      </c>
      <c r="DO154" s="2">
        <v>0</v>
      </c>
      <c r="DP154" s="2">
        <v>1</v>
      </c>
      <c r="DQ154" s="2">
        <v>1</v>
      </c>
      <c r="DR154" s="2"/>
      <c r="DS154" s="2"/>
      <c r="DT154" s="2"/>
      <c r="DU154" s="2">
        <v>1013</v>
      </c>
      <c r="DV154" s="2" t="s">
        <v>198</v>
      </c>
      <c r="DW154" s="2" t="s">
        <v>198</v>
      </c>
      <c r="DX154" s="2">
        <v>1</v>
      </c>
      <c r="DY154" s="2"/>
      <c r="DZ154" s="2"/>
      <c r="EA154" s="2"/>
      <c r="EB154" s="2"/>
      <c r="EC154" s="2"/>
      <c r="ED154" s="2"/>
      <c r="EE154" s="2">
        <v>45706853</v>
      </c>
      <c r="EF154" s="2">
        <v>60</v>
      </c>
      <c r="EG154" s="2" t="s">
        <v>25</v>
      </c>
      <c r="EH154" s="2">
        <v>0</v>
      </c>
      <c r="EI154" s="2" t="s">
        <v>3</v>
      </c>
      <c r="EJ154" s="2">
        <v>1</v>
      </c>
      <c r="EK154" s="2">
        <v>393</v>
      </c>
      <c r="EL154" s="2" t="s">
        <v>215</v>
      </c>
      <c r="EM154" s="2" t="s">
        <v>216</v>
      </c>
      <c r="EN154" s="2"/>
      <c r="EO154" s="2" t="s">
        <v>3</v>
      </c>
      <c r="EP154" s="2"/>
      <c r="EQ154" s="2">
        <v>0</v>
      </c>
      <c r="ER154" s="2">
        <v>795.14</v>
      </c>
      <c r="ES154" s="2">
        <v>0</v>
      </c>
      <c r="ET154" s="2">
        <v>0</v>
      </c>
      <c r="EU154" s="2">
        <v>0</v>
      </c>
      <c r="EV154" s="2">
        <v>795.14</v>
      </c>
      <c r="EW154" s="2">
        <v>83</v>
      </c>
      <c r="EX154" s="2">
        <v>0</v>
      </c>
      <c r="EY154" s="2">
        <v>0</v>
      </c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>
        <v>0</v>
      </c>
      <c r="FR154" s="2">
        <f t="shared" si="157"/>
        <v>0</v>
      </c>
      <c r="FS154" s="2">
        <v>0</v>
      </c>
      <c r="FT154" s="2"/>
      <c r="FU154" s="2"/>
      <c r="FV154" s="2"/>
      <c r="FW154" s="2"/>
      <c r="FX154" s="2">
        <v>91</v>
      </c>
      <c r="FY154" s="2">
        <v>67</v>
      </c>
      <c r="FZ154" s="2"/>
      <c r="GA154" s="2" t="s">
        <v>3</v>
      </c>
      <c r="GB154" s="2"/>
      <c r="GC154" s="2"/>
      <c r="GD154" s="2">
        <v>0</v>
      </c>
      <c r="GE154" s="2"/>
      <c r="GF154" s="2">
        <v>875037798</v>
      </c>
      <c r="GG154" s="2">
        <v>2</v>
      </c>
      <c r="GH154" s="2">
        <v>1</v>
      </c>
      <c r="GI154" s="2">
        <v>-2</v>
      </c>
      <c r="GJ154" s="2">
        <v>0</v>
      </c>
      <c r="GK154" s="2">
        <f>ROUND(R154*(R12)/100,2)</f>
        <v>0</v>
      </c>
      <c r="GL154" s="2">
        <f t="shared" si="158"/>
        <v>0</v>
      </c>
      <c r="GM154" s="2">
        <f t="shared" si="159"/>
        <v>2.97</v>
      </c>
      <c r="GN154" s="2">
        <f t="shared" si="160"/>
        <v>2.97</v>
      </c>
      <c r="GO154" s="2">
        <f t="shared" si="161"/>
        <v>0</v>
      </c>
      <c r="GP154" s="2">
        <f t="shared" si="162"/>
        <v>0</v>
      </c>
      <c r="GQ154" s="2"/>
      <c r="GR154" s="2">
        <v>0</v>
      </c>
      <c r="GS154" s="2">
        <v>0</v>
      </c>
      <c r="GT154" s="2">
        <v>0</v>
      </c>
      <c r="GU154" s="2" t="s">
        <v>3</v>
      </c>
      <c r="GV154" s="2">
        <f t="shared" si="163"/>
        <v>0</v>
      </c>
      <c r="GW154" s="2">
        <v>1</v>
      </c>
      <c r="GX154" s="2">
        <f t="shared" si="164"/>
        <v>0</v>
      </c>
      <c r="GY154" s="2"/>
      <c r="GZ154" s="2"/>
      <c r="HA154" s="2">
        <v>0</v>
      </c>
      <c r="HB154" s="2">
        <v>0</v>
      </c>
      <c r="HC154" s="2">
        <f t="shared" si="165"/>
        <v>0</v>
      </c>
      <c r="HD154" s="2"/>
      <c r="HE154" s="2" t="s">
        <v>3</v>
      </c>
      <c r="HF154" s="2" t="s">
        <v>3</v>
      </c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>
        <v>0</v>
      </c>
      <c r="IL154" s="2"/>
      <c r="IM154" s="2"/>
      <c r="IN154" s="2"/>
      <c r="IO154" s="2"/>
      <c r="IP154" s="2"/>
      <c r="IQ154" s="2"/>
      <c r="IR154" s="2"/>
      <c r="IS154" s="2"/>
      <c r="IT154" s="2"/>
      <c r="IU154" s="2"/>
    </row>
    <row r="155" spans="1:255" x14ac:dyDescent="0.2">
      <c r="A155">
        <v>17</v>
      </c>
      <c r="B155">
        <v>1</v>
      </c>
      <c r="C155">
        <f>ROW(SmtRes!A110)</f>
        <v>110</v>
      </c>
      <c r="D155">
        <f>ROW(EtalonRes!A110)</f>
        <v>110</v>
      </c>
      <c r="E155" t="s">
        <v>211</v>
      </c>
      <c r="F155" t="s">
        <v>212</v>
      </c>
      <c r="G155" t="s">
        <v>213</v>
      </c>
      <c r="H155" t="s">
        <v>198</v>
      </c>
      <c r="I155">
        <f>ROUND((I153)/0.9*0.1,9)</f>
        <v>1.4400000000000001E-3</v>
      </c>
      <c r="J155">
        <v>0</v>
      </c>
      <c r="O155">
        <f t="shared" si="128"/>
        <v>28.9</v>
      </c>
      <c r="P155">
        <f t="shared" si="129"/>
        <v>0</v>
      </c>
      <c r="Q155">
        <f t="shared" si="130"/>
        <v>0</v>
      </c>
      <c r="R155">
        <f t="shared" si="131"/>
        <v>0</v>
      </c>
      <c r="S155">
        <f t="shared" si="132"/>
        <v>28.9</v>
      </c>
      <c r="T155">
        <f t="shared" si="133"/>
        <v>0</v>
      </c>
      <c r="U155">
        <f t="shared" si="134"/>
        <v>0.11952</v>
      </c>
      <c r="V155">
        <f t="shared" si="135"/>
        <v>0</v>
      </c>
      <c r="W155">
        <f t="shared" si="136"/>
        <v>0</v>
      </c>
      <c r="X155">
        <f t="shared" si="137"/>
        <v>21.1</v>
      </c>
      <c r="Y155">
        <f t="shared" si="138"/>
        <v>11.85</v>
      </c>
      <c r="AA155">
        <v>45747932</v>
      </c>
      <c r="AB155">
        <f t="shared" si="139"/>
        <v>795.14</v>
      </c>
      <c r="AC155">
        <f t="shared" si="140"/>
        <v>0</v>
      </c>
      <c r="AD155">
        <f t="shared" si="141"/>
        <v>0</v>
      </c>
      <c r="AE155">
        <f t="shared" si="142"/>
        <v>0</v>
      </c>
      <c r="AF155">
        <f t="shared" si="143"/>
        <v>795.14</v>
      </c>
      <c r="AG155">
        <f t="shared" si="144"/>
        <v>0</v>
      </c>
      <c r="AH155">
        <f t="shared" si="145"/>
        <v>83</v>
      </c>
      <c r="AI155">
        <f t="shared" si="146"/>
        <v>0</v>
      </c>
      <c r="AJ155">
        <f t="shared" si="147"/>
        <v>0</v>
      </c>
      <c r="AK155">
        <v>795.14</v>
      </c>
      <c r="AL155">
        <v>0</v>
      </c>
      <c r="AM155">
        <v>0</v>
      </c>
      <c r="AN155">
        <v>0</v>
      </c>
      <c r="AO155">
        <v>795.14</v>
      </c>
      <c r="AP155">
        <v>0</v>
      </c>
      <c r="AQ155">
        <v>83</v>
      </c>
      <c r="AR155">
        <v>0</v>
      </c>
      <c r="AS155">
        <v>0</v>
      </c>
      <c r="AT155">
        <v>73</v>
      </c>
      <c r="AU155">
        <v>41</v>
      </c>
      <c r="AV155">
        <v>1</v>
      </c>
      <c r="AW155">
        <v>1</v>
      </c>
      <c r="AZ155">
        <v>1</v>
      </c>
      <c r="BA155">
        <v>25.13</v>
      </c>
      <c r="BB155">
        <v>1</v>
      </c>
      <c r="BC155">
        <v>1</v>
      </c>
      <c r="BD155" t="s">
        <v>3</v>
      </c>
      <c r="BE155" t="s">
        <v>3</v>
      </c>
      <c r="BF155" t="s">
        <v>3</v>
      </c>
      <c r="BG155" t="s">
        <v>3</v>
      </c>
      <c r="BH155">
        <v>0</v>
      </c>
      <c r="BI155">
        <v>1</v>
      </c>
      <c r="BJ155" t="s">
        <v>214</v>
      </c>
      <c r="BM155">
        <v>393</v>
      </c>
      <c r="BN155">
        <v>0</v>
      </c>
      <c r="BO155" t="s">
        <v>212</v>
      </c>
      <c r="BP155">
        <v>1</v>
      </c>
      <c r="BQ155">
        <v>60</v>
      </c>
      <c r="BR155">
        <v>0</v>
      </c>
      <c r="BS155">
        <v>25.13</v>
      </c>
      <c r="BT155">
        <v>1</v>
      </c>
      <c r="BU155">
        <v>1</v>
      </c>
      <c r="BV155">
        <v>1</v>
      </c>
      <c r="BW155">
        <v>1</v>
      </c>
      <c r="BX155">
        <v>1</v>
      </c>
      <c r="BY155" t="s">
        <v>3</v>
      </c>
      <c r="BZ155">
        <v>73</v>
      </c>
      <c r="CA155">
        <v>41</v>
      </c>
      <c r="CE155">
        <v>30</v>
      </c>
      <c r="CF155">
        <v>0</v>
      </c>
      <c r="CG155">
        <v>0</v>
      </c>
      <c r="CM155">
        <v>0</v>
      </c>
      <c r="CN155" t="s">
        <v>3</v>
      </c>
      <c r="CO155">
        <v>0</v>
      </c>
      <c r="CP155">
        <f t="shared" si="148"/>
        <v>28.9</v>
      </c>
      <c r="CQ155">
        <f t="shared" si="149"/>
        <v>0</v>
      </c>
      <c r="CR155">
        <f t="shared" si="150"/>
        <v>0</v>
      </c>
      <c r="CS155">
        <f t="shared" si="151"/>
        <v>0</v>
      </c>
      <c r="CT155">
        <f t="shared" si="152"/>
        <v>19981.87</v>
      </c>
      <c r="CU155">
        <f t="shared" si="153"/>
        <v>0</v>
      </c>
      <c r="CV155">
        <f t="shared" si="154"/>
        <v>83</v>
      </c>
      <c r="CW155">
        <f t="shared" si="155"/>
        <v>0</v>
      </c>
      <c r="CX155">
        <f t="shared" si="156"/>
        <v>0</v>
      </c>
      <c r="CY155">
        <f>S155*(BZ155/100)</f>
        <v>21.096999999999998</v>
      </c>
      <c r="CZ155">
        <f>S155*(CA155/100)</f>
        <v>11.848999999999998</v>
      </c>
      <c r="DC155" t="s">
        <v>3</v>
      </c>
      <c r="DD155" t="s">
        <v>3</v>
      </c>
      <c r="DE155" t="s">
        <v>3</v>
      </c>
      <c r="DF155" t="s">
        <v>3</v>
      </c>
      <c r="DG155" t="s">
        <v>3</v>
      </c>
      <c r="DH155" t="s">
        <v>3</v>
      </c>
      <c r="DI155" t="s">
        <v>3</v>
      </c>
      <c r="DJ155" t="s">
        <v>3</v>
      </c>
      <c r="DK155" t="s">
        <v>3</v>
      </c>
      <c r="DL155" t="s">
        <v>3</v>
      </c>
      <c r="DM155" t="s">
        <v>3</v>
      </c>
      <c r="DN155">
        <v>91</v>
      </c>
      <c r="DO155">
        <v>67</v>
      </c>
      <c r="DP155">
        <v>1</v>
      </c>
      <c r="DQ155">
        <v>1</v>
      </c>
      <c r="DU155">
        <v>1013</v>
      </c>
      <c r="DV155" t="s">
        <v>198</v>
      </c>
      <c r="DW155" t="s">
        <v>198</v>
      </c>
      <c r="DX155">
        <v>1</v>
      </c>
      <c r="EE155">
        <v>45706853</v>
      </c>
      <c r="EF155">
        <v>60</v>
      </c>
      <c r="EG155" t="s">
        <v>25</v>
      </c>
      <c r="EH155">
        <v>0</v>
      </c>
      <c r="EI155" t="s">
        <v>3</v>
      </c>
      <c r="EJ155">
        <v>1</v>
      </c>
      <c r="EK155">
        <v>393</v>
      </c>
      <c r="EL155" t="s">
        <v>215</v>
      </c>
      <c r="EM155" t="s">
        <v>216</v>
      </c>
      <c r="EO155" t="s">
        <v>3</v>
      </c>
      <c r="EQ155">
        <v>0</v>
      </c>
      <c r="ER155">
        <v>795.14</v>
      </c>
      <c r="ES155">
        <v>0</v>
      </c>
      <c r="ET155">
        <v>0</v>
      </c>
      <c r="EU155">
        <v>0</v>
      </c>
      <c r="EV155">
        <v>795.14</v>
      </c>
      <c r="EW155">
        <v>83</v>
      </c>
      <c r="EX155">
        <v>0</v>
      </c>
      <c r="EY155">
        <v>0</v>
      </c>
      <c r="FQ155">
        <v>0</v>
      </c>
      <c r="FR155">
        <f t="shared" si="157"/>
        <v>0</v>
      </c>
      <c r="FS155">
        <v>0</v>
      </c>
      <c r="FX155">
        <v>91</v>
      </c>
      <c r="FY155">
        <v>67</v>
      </c>
      <c r="GA155" t="s">
        <v>3</v>
      </c>
      <c r="GD155">
        <v>0</v>
      </c>
      <c r="GF155">
        <v>875037798</v>
      </c>
      <c r="GG155">
        <v>2</v>
      </c>
      <c r="GH155">
        <v>1</v>
      </c>
      <c r="GI155">
        <v>2</v>
      </c>
      <c r="GJ155">
        <v>0</v>
      </c>
      <c r="GK155">
        <f>ROUND(R155*(S12)/100,2)</f>
        <v>0</v>
      </c>
      <c r="GL155">
        <f t="shared" si="158"/>
        <v>0</v>
      </c>
      <c r="GM155">
        <f t="shared" si="159"/>
        <v>61.85</v>
      </c>
      <c r="GN155">
        <f t="shared" si="160"/>
        <v>61.85</v>
      </c>
      <c r="GO155">
        <f t="shared" si="161"/>
        <v>0</v>
      </c>
      <c r="GP155">
        <f t="shared" si="162"/>
        <v>0</v>
      </c>
      <c r="GR155">
        <v>0</v>
      </c>
      <c r="GS155">
        <v>0</v>
      </c>
      <c r="GT155">
        <v>0</v>
      </c>
      <c r="GU155" t="s">
        <v>3</v>
      </c>
      <c r="GV155">
        <f t="shared" si="163"/>
        <v>0</v>
      </c>
      <c r="GW155">
        <v>1</v>
      </c>
      <c r="GX155">
        <f t="shared" si="164"/>
        <v>0</v>
      </c>
      <c r="HA155">
        <v>0</v>
      </c>
      <c r="HB155">
        <v>0</v>
      </c>
      <c r="HC155">
        <f t="shared" si="165"/>
        <v>0</v>
      </c>
      <c r="HE155" t="s">
        <v>3</v>
      </c>
      <c r="HF155" t="s">
        <v>3</v>
      </c>
      <c r="IK155">
        <v>0</v>
      </c>
    </row>
    <row r="156" spans="1:255" x14ac:dyDescent="0.2">
      <c r="A156" s="2">
        <v>17</v>
      </c>
      <c r="B156" s="2">
        <v>1</v>
      </c>
      <c r="C156" s="2">
        <f>ROW(SmtRes!A111)</f>
        <v>111</v>
      </c>
      <c r="D156" s="2">
        <f>ROW(EtalonRes!A111)</f>
        <v>111</v>
      </c>
      <c r="E156" s="2" t="s">
        <v>217</v>
      </c>
      <c r="F156" s="2" t="s">
        <v>218</v>
      </c>
      <c r="G156" s="2" t="s">
        <v>219</v>
      </c>
      <c r="H156" s="2" t="s">
        <v>44</v>
      </c>
      <c r="I156" s="2">
        <f>ROUND((I148+I150)*100*1.4,9)</f>
        <v>40.32</v>
      </c>
      <c r="J156" s="2">
        <v>0</v>
      </c>
      <c r="K156" s="2"/>
      <c r="L156" s="2"/>
      <c r="M156" s="2"/>
      <c r="N156" s="2"/>
      <c r="O156" s="2">
        <f t="shared" si="128"/>
        <v>2048.2600000000002</v>
      </c>
      <c r="P156" s="2">
        <f t="shared" si="129"/>
        <v>0</v>
      </c>
      <c r="Q156" s="2">
        <f t="shared" si="130"/>
        <v>2048.2600000000002</v>
      </c>
      <c r="R156" s="2">
        <f t="shared" si="131"/>
        <v>0</v>
      </c>
      <c r="S156" s="2">
        <f t="shared" si="132"/>
        <v>0</v>
      </c>
      <c r="T156" s="2">
        <f t="shared" si="133"/>
        <v>0</v>
      </c>
      <c r="U156" s="2">
        <f t="shared" si="134"/>
        <v>0</v>
      </c>
      <c r="V156" s="2">
        <f t="shared" si="135"/>
        <v>0</v>
      </c>
      <c r="W156" s="2">
        <f t="shared" si="136"/>
        <v>0</v>
      </c>
      <c r="X156" s="2">
        <f t="shared" si="137"/>
        <v>0</v>
      </c>
      <c r="Y156" s="2">
        <f t="shared" si="138"/>
        <v>0</v>
      </c>
      <c r="Z156" s="2"/>
      <c r="AA156" s="2">
        <v>45748053</v>
      </c>
      <c r="AB156" s="2">
        <f t="shared" si="139"/>
        <v>50.8</v>
      </c>
      <c r="AC156" s="2">
        <f t="shared" si="140"/>
        <v>0</v>
      </c>
      <c r="AD156" s="2">
        <f t="shared" si="141"/>
        <v>50.8</v>
      </c>
      <c r="AE156" s="2">
        <f t="shared" si="142"/>
        <v>0</v>
      </c>
      <c r="AF156" s="2">
        <f t="shared" si="143"/>
        <v>0</v>
      </c>
      <c r="AG156" s="2">
        <f t="shared" si="144"/>
        <v>0</v>
      </c>
      <c r="AH156" s="2">
        <f t="shared" si="145"/>
        <v>0</v>
      </c>
      <c r="AI156" s="2">
        <f t="shared" si="146"/>
        <v>0</v>
      </c>
      <c r="AJ156" s="2">
        <f t="shared" si="147"/>
        <v>0</v>
      </c>
      <c r="AK156" s="2">
        <v>50.8</v>
      </c>
      <c r="AL156" s="2">
        <v>0</v>
      </c>
      <c r="AM156" s="2">
        <v>50.8</v>
      </c>
      <c r="AN156" s="2">
        <v>0</v>
      </c>
      <c r="AO156" s="2">
        <v>0</v>
      </c>
      <c r="AP156" s="2">
        <v>0</v>
      </c>
      <c r="AQ156" s="2">
        <v>0</v>
      </c>
      <c r="AR156" s="2">
        <v>0</v>
      </c>
      <c r="AS156" s="2">
        <v>0</v>
      </c>
      <c r="AT156" s="2">
        <v>0</v>
      </c>
      <c r="AU156" s="2">
        <v>0</v>
      </c>
      <c r="AV156" s="2">
        <v>1</v>
      </c>
      <c r="AW156" s="2">
        <v>1</v>
      </c>
      <c r="AX156" s="2"/>
      <c r="AY156" s="2"/>
      <c r="AZ156" s="2">
        <v>1</v>
      </c>
      <c r="BA156" s="2">
        <v>1</v>
      </c>
      <c r="BB156" s="2">
        <v>1</v>
      </c>
      <c r="BC156" s="2">
        <v>1</v>
      </c>
      <c r="BD156" s="2" t="s">
        <v>3</v>
      </c>
      <c r="BE156" s="2" t="s">
        <v>3</v>
      </c>
      <c r="BF156" s="2" t="s">
        <v>3</v>
      </c>
      <c r="BG156" s="2" t="s">
        <v>3</v>
      </c>
      <c r="BH156" s="2">
        <v>0</v>
      </c>
      <c r="BI156" s="2">
        <v>4</v>
      </c>
      <c r="BJ156" s="2" t="s">
        <v>220</v>
      </c>
      <c r="BK156" s="2"/>
      <c r="BL156" s="2"/>
      <c r="BM156" s="2">
        <v>1111</v>
      </c>
      <c r="BN156" s="2">
        <v>0</v>
      </c>
      <c r="BO156" s="2" t="s">
        <v>3</v>
      </c>
      <c r="BP156" s="2">
        <v>0</v>
      </c>
      <c r="BQ156" s="2">
        <v>150</v>
      </c>
      <c r="BR156" s="2">
        <v>0</v>
      </c>
      <c r="BS156" s="2">
        <v>1</v>
      </c>
      <c r="BT156" s="2">
        <v>1</v>
      </c>
      <c r="BU156" s="2">
        <v>1</v>
      </c>
      <c r="BV156" s="2">
        <v>1</v>
      </c>
      <c r="BW156" s="2">
        <v>1</v>
      </c>
      <c r="BX156" s="2">
        <v>1</v>
      </c>
      <c r="BY156" s="2" t="s">
        <v>3</v>
      </c>
      <c r="BZ156" s="2">
        <v>0</v>
      </c>
      <c r="CA156" s="2">
        <v>0</v>
      </c>
      <c r="CB156" s="2"/>
      <c r="CC156" s="2"/>
      <c r="CD156" s="2"/>
      <c r="CE156" s="2">
        <v>30</v>
      </c>
      <c r="CF156" s="2">
        <v>0</v>
      </c>
      <c r="CG156" s="2">
        <v>0</v>
      </c>
      <c r="CH156" s="2"/>
      <c r="CI156" s="2"/>
      <c r="CJ156" s="2"/>
      <c r="CK156" s="2"/>
      <c r="CL156" s="2"/>
      <c r="CM156" s="2">
        <v>0</v>
      </c>
      <c r="CN156" s="2" t="s">
        <v>3</v>
      </c>
      <c r="CO156" s="2">
        <v>0</v>
      </c>
      <c r="CP156" s="2">
        <f t="shared" si="148"/>
        <v>2048.2600000000002</v>
      </c>
      <c r="CQ156" s="2">
        <f t="shared" si="149"/>
        <v>0</v>
      </c>
      <c r="CR156" s="2">
        <f t="shared" si="150"/>
        <v>50.8</v>
      </c>
      <c r="CS156" s="2">
        <f t="shared" si="151"/>
        <v>0</v>
      </c>
      <c r="CT156" s="2">
        <f t="shared" si="152"/>
        <v>0</v>
      </c>
      <c r="CU156" s="2">
        <f t="shared" si="153"/>
        <v>0</v>
      </c>
      <c r="CV156" s="2">
        <f t="shared" si="154"/>
        <v>0</v>
      </c>
      <c r="CW156" s="2">
        <f t="shared" si="155"/>
        <v>0</v>
      </c>
      <c r="CX156" s="2">
        <f t="shared" si="156"/>
        <v>0</v>
      </c>
      <c r="CY156" s="2">
        <f>((S156*BZ156)/100)</f>
        <v>0</v>
      </c>
      <c r="CZ156" s="2">
        <f>((S156*CA156)/100)</f>
        <v>0</v>
      </c>
      <c r="DA156" s="2"/>
      <c r="DB156" s="2"/>
      <c r="DC156" s="2" t="s">
        <v>3</v>
      </c>
      <c r="DD156" s="2" t="s">
        <v>3</v>
      </c>
      <c r="DE156" s="2" t="s">
        <v>3</v>
      </c>
      <c r="DF156" s="2" t="s">
        <v>3</v>
      </c>
      <c r="DG156" s="2" t="s">
        <v>3</v>
      </c>
      <c r="DH156" s="2" t="s">
        <v>3</v>
      </c>
      <c r="DI156" s="2" t="s">
        <v>3</v>
      </c>
      <c r="DJ156" s="2" t="s">
        <v>3</v>
      </c>
      <c r="DK156" s="2" t="s">
        <v>3</v>
      </c>
      <c r="DL156" s="2" t="s">
        <v>3</v>
      </c>
      <c r="DM156" s="2" t="s">
        <v>3</v>
      </c>
      <c r="DN156" s="2">
        <v>0</v>
      </c>
      <c r="DO156" s="2">
        <v>0</v>
      </c>
      <c r="DP156" s="2">
        <v>1</v>
      </c>
      <c r="DQ156" s="2">
        <v>1</v>
      </c>
      <c r="DR156" s="2"/>
      <c r="DS156" s="2"/>
      <c r="DT156" s="2"/>
      <c r="DU156" s="2">
        <v>1009</v>
      </c>
      <c r="DV156" s="2" t="s">
        <v>44</v>
      </c>
      <c r="DW156" s="2" t="s">
        <v>44</v>
      </c>
      <c r="DX156" s="2">
        <v>1000</v>
      </c>
      <c r="DY156" s="2"/>
      <c r="DZ156" s="2"/>
      <c r="EA156" s="2"/>
      <c r="EB156" s="2"/>
      <c r="EC156" s="2"/>
      <c r="ED156" s="2"/>
      <c r="EE156" s="2">
        <v>45707571</v>
      </c>
      <c r="EF156" s="2">
        <v>150</v>
      </c>
      <c r="EG156" s="2" t="s">
        <v>46</v>
      </c>
      <c r="EH156" s="2">
        <v>0</v>
      </c>
      <c r="EI156" s="2" t="s">
        <v>3</v>
      </c>
      <c r="EJ156" s="2">
        <v>4</v>
      </c>
      <c r="EK156" s="2">
        <v>1111</v>
      </c>
      <c r="EL156" s="2" t="s">
        <v>221</v>
      </c>
      <c r="EM156" s="2" t="s">
        <v>222</v>
      </c>
      <c r="EN156" s="2"/>
      <c r="EO156" s="2" t="s">
        <v>3</v>
      </c>
      <c r="EP156" s="2"/>
      <c r="EQ156" s="2">
        <v>0</v>
      </c>
      <c r="ER156" s="2">
        <v>50.8</v>
      </c>
      <c r="ES156" s="2">
        <v>0</v>
      </c>
      <c r="ET156" s="2">
        <v>50.8</v>
      </c>
      <c r="EU156" s="2">
        <v>0</v>
      </c>
      <c r="EV156" s="2">
        <v>0</v>
      </c>
      <c r="EW156" s="2">
        <v>0</v>
      </c>
      <c r="EX156" s="2">
        <v>0</v>
      </c>
      <c r="EY156" s="2">
        <v>0</v>
      </c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>
        <v>0</v>
      </c>
      <c r="FR156" s="2">
        <f t="shared" si="157"/>
        <v>0</v>
      </c>
      <c r="FS156" s="2">
        <v>0</v>
      </c>
      <c r="FT156" s="2"/>
      <c r="FU156" s="2"/>
      <c r="FV156" s="2"/>
      <c r="FW156" s="2"/>
      <c r="FX156" s="2">
        <v>0</v>
      </c>
      <c r="FY156" s="2">
        <v>0</v>
      </c>
      <c r="FZ156" s="2"/>
      <c r="GA156" s="2" t="s">
        <v>3</v>
      </c>
      <c r="GB156" s="2"/>
      <c r="GC156" s="2"/>
      <c r="GD156" s="2">
        <v>1</v>
      </c>
      <c r="GE156" s="2"/>
      <c r="GF156" s="2">
        <v>-1019048002</v>
      </c>
      <c r="GG156" s="2">
        <v>2</v>
      </c>
      <c r="GH156" s="2">
        <v>1</v>
      </c>
      <c r="GI156" s="2">
        <v>-2</v>
      </c>
      <c r="GJ156" s="2">
        <v>0</v>
      </c>
      <c r="GK156" s="2">
        <v>0</v>
      </c>
      <c r="GL156" s="2">
        <f t="shared" si="158"/>
        <v>0</v>
      </c>
      <c r="GM156" s="2">
        <f>ROUND(O156+X156+Y156,2)+GX156</f>
        <v>2048.2600000000002</v>
      </c>
      <c r="GN156" s="2">
        <f>IF(OR(BI156=0,BI156=1),ROUND(O156+X156+Y156,2),0)</f>
        <v>0</v>
      </c>
      <c r="GO156" s="2">
        <f>IF(BI156=2,ROUND(O156+X156+Y156,2),0)</f>
        <v>0</v>
      </c>
      <c r="GP156" s="2">
        <f>IF(BI156=4,ROUND(O156+X156+Y156,2)+GX156,0)</f>
        <v>2048.2600000000002</v>
      </c>
      <c r="GQ156" s="2"/>
      <c r="GR156" s="2">
        <v>0</v>
      </c>
      <c r="GS156" s="2">
        <v>3</v>
      </c>
      <c r="GT156" s="2">
        <v>0</v>
      </c>
      <c r="GU156" s="2" t="s">
        <v>3</v>
      </c>
      <c r="GV156" s="2">
        <f t="shared" si="163"/>
        <v>0</v>
      </c>
      <c r="GW156" s="2">
        <v>1</v>
      </c>
      <c r="GX156" s="2">
        <f t="shared" si="164"/>
        <v>0</v>
      </c>
      <c r="GY156" s="2"/>
      <c r="GZ156" s="2"/>
      <c r="HA156" s="2">
        <v>0</v>
      </c>
      <c r="HB156" s="2">
        <v>0</v>
      </c>
      <c r="HC156" s="2">
        <f t="shared" si="165"/>
        <v>0</v>
      </c>
      <c r="HD156" s="2"/>
      <c r="HE156" s="2" t="s">
        <v>3</v>
      </c>
      <c r="HF156" s="2" t="s">
        <v>3</v>
      </c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>
        <v>0</v>
      </c>
      <c r="IL156" s="2"/>
      <c r="IM156" s="2"/>
      <c r="IN156" s="2"/>
      <c r="IO156" s="2"/>
      <c r="IP156" s="2"/>
      <c r="IQ156" s="2"/>
      <c r="IR156" s="2"/>
      <c r="IS156" s="2"/>
      <c r="IT156" s="2"/>
      <c r="IU156" s="2"/>
    </row>
    <row r="157" spans="1:255" x14ac:dyDescent="0.2">
      <c r="A157">
        <v>17</v>
      </c>
      <c r="B157">
        <v>1</v>
      </c>
      <c r="C157">
        <f>ROW(SmtRes!A112)</f>
        <v>112</v>
      </c>
      <c r="D157">
        <f>ROW(EtalonRes!A112)</f>
        <v>112</v>
      </c>
      <c r="E157" t="s">
        <v>217</v>
      </c>
      <c r="F157" t="s">
        <v>218</v>
      </c>
      <c r="G157" t="s">
        <v>219</v>
      </c>
      <c r="H157" t="s">
        <v>44</v>
      </c>
      <c r="I157">
        <f>ROUND((I149+I151)*100*1.4,9)</f>
        <v>40.32</v>
      </c>
      <c r="J157">
        <v>0</v>
      </c>
      <c r="O157">
        <f t="shared" si="128"/>
        <v>22223.62</v>
      </c>
      <c r="P157">
        <f t="shared" si="129"/>
        <v>0</v>
      </c>
      <c r="Q157">
        <f t="shared" si="130"/>
        <v>22223.62</v>
      </c>
      <c r="R157">
        <f t="shared" si="131"/>
        <v>0</v>
      </c>
      <c r="S157">
        <f t="shared" si="132"/>
        <v>0</v>
      </c>
      <c r="T157">
        <f t="shared" si="133"/>
        <v>0</v>
      </c>
      <c r="U157">
        <f t="shared" si="134"/>
        <v>0</v>
      </c>
      <c r="V157">
        <f t="shared" si="135"/>
        <v>0</v>
      </c>
      <c r="W157">
        <f t="shared" si="136"/>
        <v>0</v>
      </c>
      <c r="X157">
        <f t="shared" si="137"/>
        <v>0</v>
      </c>
      <c r="Y157">
        <f t="shared" si="138"/>
        <v>0</v>
      </c>
      <c r="AA157">
        <v>45747932</v>
      </c>
      <c r="AB157">
        <f t="shared" si="139"/>
        <v>50.8</v>
      </c>
      <c r="AC157">
        <f t="shared" si="140"/>
        <v>0</v>
      </c>
      <c r="AD157">
        <f t="shared" si="141"/>
        <v>50.8</v>
      </c>
      <c r="AE157">
        <f t="shared" si="142"/>
        <v>0</v>
      </c>
      <c r="AF157">
        <f t="shared" si="143"/>
        <v>0</v>
      </c>
      <c r="AG157">
        <f t="shared" si="144"/>
        <v>0</v>
      </c>
      <c r="AH157">
        <f t="shared" si="145"/>
        <v>0</v>
      </c>
      <c r="AI157">
        <f t="shared" si="146"/>
        <v>0</v>
      </c>
      <c r="AJ157">
        <f t="shared" si="147"/>
        <v>0</v>
      </c>
      <c r="AK157">
        <v>50.8</v>
      </c>
      <c r="AL157">
        <v>0</v>
      </c>
      <c r="AM157">
        <v>50.8</v>
      </c>
      <c r="AN157">
        <v>0</v>
      </c>
      <c r="AO157">
        <v>0</v>
      </c>
      <c r="AP157">
        <v>0</v>
      </c>
      <c r="AQ157">
        <v>0</v>
      </c>
      <c r="AR157">
        <v>0</v>
      </c>
      <c r="AS157">
        <v>0</v>
      </c>
      <c r="AT157">
        <v>93</v>
      </c>
      <c r="AU157">
        <v>64</v>
      </c>
      <c r="AV157">
        <v>1</v>
      </c>
      <c r="AW157">
        <v>1</v>
      </c>
      <c r="AZ157">
        <v>1</v>
      </c>
      <c r="BA157">
        <v>1</v>
      </c>
      <c r="BB157">
        <v>10.85</v>
      </c>
      <c r="BC157">
        <v>1</v>
      </c>
      <c r="BD157" t="s">
        <v>3</v>
      </c>
      <c r="BE157" t="s">
        <v>3</v>
      </c>
      <c r="BF157" t="s">
        <v>3</v>
      </c>
      <c r="BG157" t="s">
        <v>3</v>
      </c>
      <c r="BH157">
        <v>0</v>
      </c>
      <c r="BI157">
        <v>4</v>
      </c>
      <c r="BJ157" t="s">
        <v>220</v>
      </c>
      <c r="BM157">
        <v>1111</v>
      </c>
      <c r="BN157">
        <v>0</v>
      </c>
      <c r="BO157" t="s">
        <v>218</v>
      </c>
      <c r="BP157">
        <v>1</v>
      </c>
      <c r="BQ157">
        <v>150</v>
      </c>
      <c r="BR157">
        <v>0</v>
      </c>
      <c r="BS157">
        <v>1</v>
      </c>
      <c r="BT157">
        <v>1</v>
      </c>
      <c r="BU157">
        <v>1</v>
      </c>
      <c r="BV157">
        <v>1</v>
      </c>
      <c r="BW157">
        <v>1</v>
      </c>
      <c r="BX157">
        <v>1</v>
      </c>
      <c r="BY157" t="s">
        <v>3</v>
      </c>
      <c r="BZ157">
        <v>93</v>
      </c>
      <c r="CA157">
        <v>64</v>
      </c>
      <c r="CE157">
        <v>30</v>
      </c>
      <c r="CF157">
        <v>0</v>
      </c>
      <c r="CG157">
        <v>0</v>
      </c>
      <c r="CM157">
        <v>0</v>
      </c>
      <c r="CN157" t="s">
        <v>3</v>
      </c>
      <c r="CO157">
        <v>0</v>
      </c>
      <c r="CP157">
        <f t="shared" si="148"/>
        <v>22223.62</v>
      </c>
      <c r="CQ157">
        <f t="shared" si="149"/>
        <v>0</v>
      </c>
      <c r="CR157">
        <f t="shared" si="150"/>
        <v>551.17999999999995</v>
      </c>
      <c r="CS157">
        <f t="shared" si="151"/>
        <v>0</v>
      </c>
      <c r="CT157">
        <f t="shared" si="152"/>
        <v>0</v>
      </c>
      <c r="CU157">
        <f t="shared" si="153"/>
        <v>0</v>
      </c>
      <c r="CV157">
        <f t="shared" si="154"/>
        <v>0</v>
      </c>
      <c r="CW157">
        <f t="shared" si="155"/>
        <v>0</v>
      </c>
      <c r="CX157">
        <f t="shared" si="156"/>
        <v>0</v>
      </c>
      <c r="CY157">
        <f>S157*(BZ157/100)</f>
        <v>0</v>
      </c>
      <c r="CZ157">
        <f>S157*(CA157/100)</f>
        <v>0</v>
      </c>
      <c r="DC157" t="s">
        <v>3</v>
      </c>
      <c r="DD157" t="s">
        <v>3</v>
      </c>
      <c r="DE157" t="s">
        <v>3</v>
      </c>
      <c r="DF157" t="s">
        <v>3</v>
      </c>
      <c r="DG157" t="s">
        <v>3</v>
      </c>
      <c r="DH157" t="s">
        <v>3</v>
      </c>
      <c r="DI157" t="s">
        <v>3</v>
      </c>
      <c r="DJ157" t="s">
        <v>3</v>
      </c>
      <c r="DK157" t="s">
        <v>3</v>
      </c>
      <c r="DL157" t="s">
        <v>3</v>
      </c>
      <c r="DM157" t="s">
        <v>3</v>
      </c>
      <c r="DN157">
        <v>0</v>
      </c>
      <c r="DO157">
        <v>0</v>
      </c>
      <c r="DP157">
        <v>1</v>
      </c>
      <c r="DQ157">
        <v>1</v>
      </c>
      <c r="DU157">
        <v>1009</v>
      </c>
      <c r="DV157" t="s">
        <v>44</v>
      </c>
      <c r="DW157" t="s">
        <v>44</v>
      </c>
      <c r="DX157">
        <v>1000</v>
      </c>
      <c r="EE157">
        <v>45707571</v>
      </c>
      <c r="EF157">
        <v>150</v>
      </c>
      <c r="EG157" t="s">
        <v>46</v>
      </c>
      <c r="EH157">
        <v>0</v>
      </c>
      <c r="EI157" t="s">
        <v>3</v>
      </c>
      <c r="EJ157">
        <v>4</v>
      </c>
      <c r="EK157">
        <v>1111</v>
      </c>
      <c r="EL157" t="s">
        <v>221</v>
      </c>
      <c r="EM157" t="s">
        <v>222</v>
      </c>
      <c r="EO157" t="s">
        <v>3</v>
      </c>
      <c r="EQ157">
        <v>0</v>
      </c>
      <c r="ER157">
        <v>50.8</v>
      </c>
      <c r="ES157">
        <v>0</v>
      </c>
      <c r="ET157">
        <v>50.8</v>
      </c>
      <c r="EU157">
        <v>0</v>
      </c>
      <c r="EV157">
        <v>0</v>
      </c>
      <c r="EW157">
        <v>0</v>
      </c>
      <c r="EX157">
        <v>0</v>
      </c>
      <c r="EY157">
        <v>0</v>
      </c>
      <c r="FQ157">
        <v>0</v>
      </c>
      <c r="FR157">
        <f t="shared" si="157"/>
        <v>0</v>
      </c>
      <c r="FS157">
        <v>0</v>
      </c>
      <c r="FX157">
        <v>0</v>
      </c>
      <c r="FY157">
        <v>0</v>
      </c>
      <c r="GA157" t="s">
        <v>3</v>
      </c>
      <c r="GD157">
        <v>0</v>
      </c>
      <c r="GF157">
        <v>-1019048002</v>
      </c>
      <c r="GG157">
        <v>2</v>
      </c>
      <c r="GH157">
        <v>1</v>
      </c>
      <c r="GI157">
        <v>2</v>
      </c>
      <c r="GJ157">
        <v>0</v>
      </c>
      <c r="GK157">
        <f>ROUND(R157*(S12)/100,2)</f>
        <v>0</v>
      </c>
      <c r="GL157">
        <f t="shared" si="158"/>
        <v>0</v>
      </c>
      <c r="GM157">
        <f>ROUND(O157+X157+Y157+GK157,2)+GX157</f>
        <v>22223.62</v>
      </c>
      <c r="GN157">
        <f>IF(OR(BI157=0,BI157=1),ROUND(O157+X157+Y157+GK157,2),0)</f>
        <v>0</v>
      </c>
      <c r="GO157">
        <f>IF(BI157=2,ROUND(O157+X157+Y157+GK157,2),0)</f>
        <v>0</v>
      </c>
      <c r="GP157">
        <f>IF(BI157=4,ROUND(O157+X157+Y157+GK157,2)+GX157,0)</f>
        <v>22223.62</v>
      </c>
      <c r="GR157">
        <v>0</v>
      </c>
      <c r="GS157">
        <v>3</v>
      </c>
      <c r="GT157">
        <v>0</v>
      </c>
      <c r="GU157" t="s">
        <v>3</v>
      </c>
      <c r="GV157">
        <f t="shared" si="163"/>
        <v>0</v>
      </c>
      <c r="GW157">
        <v>1</v>
      </c>
      <c r="GX157">
        <f t="shared" si="164"/>
        <v>0</v>
      </c>
      <c r="HA157">
        <v>0</v>
      </c>
      <c r="HB157">
        <v>0</v>
      </c>
      <c r="HC157">
        <f t="shared" si="165"/>
        <v>0</v>
      </c>
      <c r="HE157" t="s">
        <v>3</v>
      </c>
      <c r="HF157" t="s">
        <v>3</v>
      </c>
      <c r="IK157">
        <v>0</v>
      </c>
    </row>
    <row r="158" spans="1:255" x14ac:dyDescent="0.2">
      <c r="A158" s="2">
        <v>17</v>
      </c>
      <c r="B158" s="2">
        <v>1</v>
      </c>
      <c r="C158" s="2">
        <f>ROW(SmtRes!A113)</f>
        <v>113</v>
      </c>
      <c r="D158" s="2">
        <f>ROW(EtalonRes!A113)</f>
        <v>113</v>
      </c>
      <c r="E158" s="2" t="s">
        <v>223</v>
      </c>
      <c r="F158" s="2" t="s">
        <v>224</v>
      </c>
      <c r="G158" s="2" t="s">
        <v>225</v>
      </c>
      <c r="H158" s="2" t="s">
        <v>31</v>
      </c>
      <c r="I158" s="2">
        <f>ROUND(I156,9)</f>
        <v>40.32</v>
      </c>
      <c r="J158" s="2">
        <v>0</v>
      </c>
      <c r="K158" s="2"/>
      <c r="L158" s="2"/>
      <c r="M158" s="2"/>
      <c r="N158" s="2"/>
      <c r="O158" s="2">
        <f t="shared" si="128"/>
        <v>508.44</v>
      </c>
      <c r="P158" s="2">
        <f t="shared" si="129"/>
        <v>0</v>
      </c>
      <c r="Q158" s="2">
        <f t="shared" si="130"/>
        <v>508.44</v>
      </c>
      <c r="R158" s="2">
        <f t="shared" si="131"/>
        <v>0</v>
      </c>
      <c r="S158" s="2">
        <f t="shared" si="132"/>
        <v>0</v>
      </c>
      <c r="T158" s="2">
        <f t="shared" si="133"/>
        <v>0</v>
      </c>
      <c r="U158" s="2">
        <f t="shared" si="134"/>
        <v>0</v>
      </c>
      <c r="V158" s="2">
        <f t="shared" si="135"/>
        <v>0</v>
      </c>
      <c r="W158" s="2">
        <f t="shared" si="136"/>
        <v>0</v>
      </c>
      <c r="X158" s="2">
        <f t="shared" si="137"/>
        <v>0</v>
      </c>
      <c r="Y158" s="2">
        <f t="shared" si="138"/>
        <v>0</v>
      </c>
      <c r="Z158" s="2"/>
      <c r="AA158" s="2">
        <v>45748053</v>
      </c>
      <c r="AB158" s="2">
        <f t="shared" si="139"/>
        <v>12.61</v>
      </c>
      <c r="AC158" s="2">
        <f t="shared" si="140"/>
        <v>0</v>
      </c>
      <c r="AD158" s="2">
        <f t="shared" si="141"/>
        <v>12.61</v>
      </c>
      <c r="AE158" s="2">
        <f t="shared" si="142"/>
        <v>0</v>
      </c>
      <c r="AF158" s="2">
        <f t="shared" si="143"/>
        <v>0</v>
      </c>
      <c r="AG158" s="2">
        <f t="shared" si="144"/>
        <v>0</v>
      </c>
      <c r="AH158" s="2">
        <f t="shared" si="145"/>
        <v>0</v>
      </c>
      <c r="AI158" s="2">
        <f t="shared" si="146"/>
        <v>0</v>
      </c>
      <c r="AJ158" s="2">
        <f t="shared" si="147"/>
        <v>0</v>
      </c>
      <c r="AK158" s="2">
        <v>12.61</v>
      </c>
      <c r="AL158" s="2">
        <v>0</v>
      </c>
      <c r="AM158" s="2">
        <v>12.61</v>
      </c>
      <c r="AN158" s="2">
        <v>0</v>
      </c>
      <c r="AO158" s="2">
        <v>0</v>
      </c>
      <c r="AP158" s="2">
        <v>0</v>
      </c>
      <c r="AQ158" s="2">
        <v>0</v>
      </c>
      <c r="AR158" s="2">
        <v>0</v>
      </c>
      <c r="AS158" s="2">
        <v>0</v>
      </c>
      <c r="AT158" s="2">
        <v>0</v>
      </c>
      <c r="AU158" s="2">
        <v>0</v>
      </c>
      <c r="AV158" s="2">
        <v>1</v>
      </c>
      <c r="AW158" s="2">
        <v>1</v>
      </c>
      <c r="AX158" s="2"/>
      <c r="AY158" s="2"/>
      <c r="AZ158" s="2">
        <v>1</v>
      </c>
      <c r="BA158" s="2">
        <v>1</v>
      </c>
      <c r="BB158" s="2">
        <v>1</v>
      </c>
      <c r="BC158" s="2">
        <v>1</v>
      </c>
      <c r="BD158" s="2" t="s">
        <v>3</v>
      </c>
      <c r="BE158" s="2" t="s">
        <v>3</v>
      </c>
      <c r="BF158" s="2" t="s">
        <v>3</v>
      </c>
      <c r="BG158" s="2" t="s">
        <v>3</v>
      </c>
      <c r="BH158" s="2">
        <v>0</v>
      </c>
      <c r="BI158" s="2">
        <v>4</v>
      </c>
      <c r="BJ158" s="2" t="s">
        <v>226</v>
      </c>
      <c r="BK158" s="2"/>
      <c r="BL158" s="2"/>
      <c r="BM158" s="2">
        <v>1113</v>
      </c>
      <c r="BN158" s="2">
        <v>0</v>
      </c>
      <c r="BO158" s="2" t="s">
        <v>3</v>
      </c>
      <c r="BP158" s="2">
        <v>0</v>
      </c>
      <c r="BQ158" s="2">
        <v>150</v>
      </c>
      <c r="BR158" s="2">
        <v>0</v>
      </c>
      <c r="BS158" s="2">
        <v>1</v>
      </c>
      <c r="BT158" s="2">
        <v>1</v>
      </c>
      <c r="BU158" s="2">
        <v>1</v>
      </c>
      <c r="BV158" s="2">
        <v>1</v>
      </c>
      <c r="BW158" s="2">
        <v>1</v>
      </c>
      <c r="BX158" s="2">
        <v>1</v>
      </c>
      <c r="BY158" s="2" t="s">
        <v>3</v>
      </c>
      <c r="BZ158" s="2">
        <v>0</v>
      </c>
      <c r="CA158" s="2">
        <v>0</v>
      </c>
      <c r="CB158" s="2"/>
      <c r="CC158" s="2"/>
      <c r="CD158" s="2"/>
      <c r="CE158" s="2">
        <v>30</v>
      </c>
      <c r="CF158" s="2">
        <v>0</v>
      </c>
      <c r="CG158" s="2">
        <v>0</v>
      </c>
      <c r="CH158" s="2"/>
      <c r="CI158" s="2"/>
      <c r="CJ158" s="2"/>
      <c r="CK158" s="2"/>
      <c r="CL158" s="2"/>
      <c r="CM158" s="2">
        <v>0</v>
      </c>
      <c r="CN158" s="2" t="s">
        <v>3</v>
      </c>
      <c r="CO158" s="2">
        <v>0</v>
      </c>
      <c r="CP158" s="2">
        <f t="shared" si="148"/>
        <v>508.44</v>
      </c>
      <c r="CQ158" s="2">
        <f t="shared" si="149"/>
        <v>0</v>
      </c>
      <c r="CR158" s="2">
        <f t="shared" si="150"/>
        <v>12.61</v>
      </c>
      <c r="CS158" s="2">
        <f t="shared" si="151"/>
        <v>0</v>
      </c>
      <c r="CT158" s="2">
        <f t="shared" si="152"/>
        <v>0</v>
      </c>
      <c r="CU158" s="2">
        <f t="shared" si="153"/>
        <v>0</v>
      </c>
      <c r="CV158" s="2">
        <f t="shared" si="154"/>
        <v>0</v>
      </c>
      <c r="CW158" s="2">
        <f t="shared" si="155"/>
        <v>0</v>
      </c>
      <c r="CX158" s="2">
        <f t="shared" si="156"/>
        <v>0</v>
      </c>
      <c r="CY158" s="2">
        <f>((S158*BZ158)/100)</f>
        <v>0</v>
      </c>
      <c r="CZ158" s="2">
        <f>((S158*CA158)/100)</f>
        <v>0</v>
      </c>
      <c r="DA158" s="2"/>
      <c r="DB158" s="2"/>
      <c r="DC158" s="2" t="s">
        <v>3</v>
      </c>
      <c r="DD158" s="2" t="s">
        <v>3</v>
      </c>
      <c r="DE158" s="2" t="s">
        <v>3</v>
      </c>
      <c r="DF158" s="2" t="s">
        <v>3</v>
      </c>
      <c r="DG158" s="2" t="s">
        <v>3</v>
      </c>
      <c r="DH158" s="2" t="s">
        <v>3</v>
      </c>
      <c r="DI158" s="2" t="s">
        <v>3</v>
      </c>
      <c r="DJ158" s="2" t="s">
        <v>3</v>
      </c>
      <c r="DK158" s="2" t="s">
        <v>3</v>
      </c>
      <c r="DL158" s="2" t="s">
        <v>3</v>
      </c>
      <c r="DM158" s="2" t="s">
        <v>3</v>
      </c>
      <c r="DN158" s="2">
        <v>0</v>
      </c>
      <c r="DO158" s="2">
        <v>0</v>
      </c>
      <c r="DP158" s="2">
        <v>1</v>
      </c>
      <c r="DQ158" s="2">
        <v>1</v>
      </c>
      <c r="DR158" s="2"/>
      <c r="DS158" s="2"/>
      <c r="DT158" s="2"/>
      <c r="DU158" s="2">
        <v>1013</v>
      </c>
      <c r="DV158" s="2" t="s">
        <v>31</v>
      </c>
      <c r="DW158" s="2" t="s">
        <v>31</v>
      </c>
      <c r="DX158" s="2">
        <v>1</v>
      </c>
      <c r="DY158" s="2"/>
      <c r="DZ158" s="2"/>
      <c r="EA158" s="2"/>
      <c r="EB158" s="2"/>
      <c r="EC158" s="2"/>
      <c r="ED158" s="2"/>
      <c r="EE158" s="2">
        <v>45707573</v>
      </c>
      <c r="EF158" s="2">
        <v>150</v>
      </c>
      <c r="EG158" s="2" t="s">
        <v>46</v>
      </c>
      <c r="EH158" s="2">
        <v>0</v>
      </c>
      <c r="EI158" s="2" t="s">
        <v>3</v>
      </c>
      <c r="EJ158" s="2">
        <v>4</v>
      </c>
      <c r="EK158" s="2">
        <v>1113</v>
      </c>
      <c r="EL158" s="2" t="s">
        <v>47</v>
      </c>
      <c r="EM158" s="2" t="s">
        <v>48</v>
      </c>
      <c r="EN158" s="2"/>
      <c r="EO158" s="2" t="s">
        <v>3</v>
      </c>
      <c r="EP158" s="2"/>
      <c r="EQ158" s="2">
        <v>0</v>
      </c>
      <c r="ER158" s="2">
        <v>12.61</v>
      </c>
      <c r="ES158" s="2">
        <v>0</v>
      </c>
      <c r="ET158" s="2">
        <v>12.61</v>
      </c>
      <c r="EU158" s="2">
        <v>0</v>
      </c>
      <c r="EV158" s="2">
        <v>0</v>
      </c>
      <c r="EW158" s="2">
        <v>0</v>
      </c>
      <c r="EX158" s="2">
        <v>0</v>
      </c>
      <c r="EY158" s="2">
        <v>0</v>
      </c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>
        <v>0</v>
      </c>
      <c r="FR158" s="2">
        <f t="shared" si="157"/>
        <v>0</v>
      </c>
      <c r="FS158" s="2">
        <v>0</v>
      </c>
      <c r="FT158" s="2"/>
      <c r="FU158" s="2"/>
      <c r="FV158" s="2"/>
      <c r="FW158" s="2"/>
      <c r="FX158" s="2">
        <v>0</v>
      </c>
      <c r="FY158" s="2">
        <v>0</v>
      </c>
      <c r="FZ158" s="2"/>
      <c r="GA158" s="2" t="s">
        <v>3</v>
      </c>
      <c r="GB158" s="2"/>
      <c r="GC158" s="2"/>
      <c r="GD158" s="2">
        <v>1</v>
      </c>
      <c r="GE158" s="2"/>
      <c r="GF158" s="2">
        <v>-1630031867</v>
      </c>
      <c r="GG158" s="2">
        <v>2</v>
      </c>
      <c r="GH158" s="2">
        <v>1</v>
      </c>
      <c r="GI158" s="2">
        <v>-2</v>
      </c>
      <c r="GJ158" s="2">
        <v>0</v>
      </c>
      <c r="GK158" s="2">
        <v>0</v>
      </c>
      <c r="GL158" s="2">
        <f t="shared" si="158"/>
        <v>0</v>
      </c>
      <c r="GM158" s="2">
        <f>ROUND(O158+X158+Y158,2)+GX158</f>
        <v>508.44</v>
      </c>
      <c r="GN158" s="2">
        <f>IF(OR(BI158=0,BI158=1),ROUND(O158+X158+Y158,2),0)</f>
        <v>0</v>
      </c>
      <c r="GO158" s="2">
        <f>IF(BI158=2,ROUND(O158+X158+Y158,2),0)</f>
        <v>0</v>
      </c>
      <c r="GP158" s="2">
        <f>IF(BI158=4,ROUND(O158+X158+Y158,2)+GX158,0)</f>
        <v>508.44</v>
      </c>
      <c r="GQ158" s="2"/>
      <c r="GR158" s="2">
        <v>0</v>
      </c>
      <c r="GS158" s="2">
        <v>3</v>
      </c>
      <c r="GT158" s="2">
        <v>0</v>
      </c>
      <c r="GU158" s="2" t="s">
        <v>3</v>
      </c>
      <c r="GV158" s="2">
        <f t="shared" si="163"/>
        <v>0</v>
      </c>
      <c r="GW158" s="2">
        <v>1</v>
      </c>
      <c r="GX158" s="2">
        <f t="shared" si="164"/>
        <v>0</v>
      </c>
      <c r="GY158" s="2"/>
      <c r="GZ158" s="2"/>
      <c r="HA158" s="2">
        <v>0</v>
      </c>
      <c r="HB158" s="2">
        <v>0</v>
      </c>
      <c r="HC158" s="2">
        <f t="shared" si="165"/>
        <v>0</v>
      </c>
      <c r="HD158" s="2"/>
      <c r="HE158" s="2" t="s">
        <v>3</v>
      </c>
      <c r="HF158" s="2" t="s">
        <v>3</v>
      </c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>
        <v>0</v>
      </c>
      <c r="IL158" s="2"/>
      <c r="IM158" s="2"/>
      <c r="IN158" s="2"/>
      <c r="IO158" s="2"/>
      <c r="IP158" s="2"/>
      <c r="IQ158" s="2"/>
      <c r="IR158" s="2"/>
      <c r="IS158" s="2"/>
      <c r="IT158" s="2"/>
      <c r="IU158" s="2"/>
    </row>
    <row r="159" spans="1:255" x14ac:dyDescent="0.2">
      <c r="A159">
        <v>17</v>
      </c>
      <c r="B159">
        <v>1</v>
      </c>
      <c r="C159">
        <f>ROW(SmtRes!A114)</f>
        <v>114</v>
      </c>
      <c r="D159">
        <f>ROW(EtalonRes!A114)</f>
        <v>114</v>
      </c>
      <c r="E159" t="s">
        <v>223</v>
      </c>
      <c r="F159" t="s">
        <v>224</v>
      </c>
      <c r="G159" t="s">
        <v>225</v>
      </c>
      <c r="H159" t="s">
        <v>31</v>
      </c>
      <c r="I159">
        <f>ROUND(I157,9)</f>
        <v>40.32</v>
      </c>
      <c r="J159">
        <v>0</v>
      </c>
      <c r="O159">
        <f t="shared" si="128"/>
        <v>3879.4</v>
      </c>
      <c r="P159">
        <f t="shared" si="129"/>
        <v>0</v>
      </c>
      <c r="Q159">
        <f t="shared" si="130"/>
        <v>3879.4</v>
      </c>
      <c r="R159">
        <f t="shared" si="131"/>
        <v>0</v>
      </c>
      <c r="S159">
        <f t="shared" si="132"/>
        <v>0</v>
      </c>
      <c r="T159">
        <f t="shared" si="133"/>
        <v>0</v>
      </c>
      <c r="U159">
        <f t="shared" si="134"/>
        <v>0</v>
      </c>
      <c r="V159">
        <f t="shared" si="135"/>
        <v>0</v>
      </c>
      <c r="W159">
        <f t="shared" si="136"/>
        <v>0</v>
      </c>
      <c r="X159">
        <f t="shared" si="137"/>
        <v>0</v>
      </c>
      <c r="Y159">
        <f t="shared" si="138"/>
        <v>0</v>
      </c>
      <c r="AA159">
        <v>45747932</v>
      </c>
      <c r="AB159">
        <f t="shared" si="139"/>
        <v>12.61</v>
      </c>
      <c r="AC159">
        <f t="shared" si="140"/>
        <v>0</v>
      </c>
      <c r="AD159">
        <f t="shared" si="141"/>
        <v>12.61</v>
      </c>
      <c r="AE159">
        <f t="shared" si="142"/>
        <v>0</v>
      </c>
      <c r="AF159">
        <f t="shared" si="143"/>
        <v>0</v>
      </c>
      <c r="AG159">
        <f t="shared" si="144"/>
        <v>0</v>
      </c>
      <c r="AH159">
        <f t="shared" si="145"/>
        <v>0</v>
      </c>
      <c r="AI159">
        <f t="shared" si="146"/>
        <v>0</v>
      </c>
      <c r="AJ159">
        <f t="shared" si="147"/>
        <v>0</v>
      </c>
      <c r="AK159">
        <v>12.61</v>
      </c>
      <c r="AL159">
        <v>0</v>
      </c>
      <c r="AM159">
        <v>12.61</v>
      </c>
      <c r="AN159">
        <v>0</v>
      </c>
      <c r="AO159">
        <v>0</v>
      </c>
      <c r="AP159">
        <v>0</v>
      </c>
      <c r="AQ159">
        <v>0</v>
      </c>
      <c r="AR159">
        <v>0</v>
      </c>
      <c r="AS159">
        <v>0</v>
      </c>
      <c r="AT159">
        <v>93</v>
      </c>
      <c r="AU159">
        <v>64</v>
      </c>
      <c r="AV159">
        <v>1</v>
      </c>
      <c r="AW159">
        <v>1</v>
      </c>
      <c r="AZ159">
        <v>1</v>
      </c>
      <c r="BA159">
        <v>1</v>
      </c>
      <c r="BB159">
        <v>7.63</v>
      </c>
      <c r="BC159">
        <v>1</v>
      </c>
      <c r="BD159" t="s">
        <v>3</v>
      </c>
      <c r="BE159" t="s">
        <v>3</v>
      </c>
      <c r="BF159" t="s">
        <v>3</v>
      </c>
      <c r="BG159" t="s">
        <v>3</v>
      </c>
      <c r="BH159">
        <v>0</v>
      </c>
      <c r="BI159">
        <v>4</v>
      </c>
      <c r="BJ159" t="s">
        <v>226</v>
      </c>
      <c r="BM159">
        <v>1113</v>
      </c>
      <c r="BN159">
        <v>0</v>
      </c>
      <c r="BO159" t="s">
        <v>224</v>
      </c>
      <c r="BP159">
        <v>1</v>
      </c>
      <c r="BQ159">
        <v>150</v>
      </c>
      <c r="BR159">
        <v>0</v>
      </c>
      <c r="BS159">
        <v>1</v>
      </c>
      <c r="BT159">
        <v>1</v>
      </c>
      <c r="BU159">
        <v>1</v>
      </c>
      <c r="BV159">
        <v>1</v>
      </c>
      <c r="BW159">
        <v>1</v>
      </c>
      <c r="BX159">
        <v>1</v>
      </c>
      <c r="BY159" t="s">
        <v>3</v>
      </c>
      <c r="BZ159">
        <v>93</v>
      </c>
      <c r="CA159">
        <v>64</v>
      </c>
      <c r="CE159">
        <v>30</v>
      </c>
      <c r="CF159">
        <v>0</v>
      </c>
      <c r="CG159">
        <v>0</v>
      </c>
      <c r="CM159">
        <v>0</v>
      </c>
      <c r="CN159" t="s">
        <v>3</v>
      </c>
      <c r="CO159">
        <v>0</v>
      </c>
      <c r="CP159">
        <f t="shared" si="148"/>
        <v>3879.4</v>
      </c>
      <c r="CQ159">
        <f t="shared" si="149"/>
        <v>0</v>
      </c>
      <c r="CR159">
        <f t="shared" si="150"/>
        <v>96.21</v>
      </c>
      <c r="CS159">
        <f t="shared" si="151"/>
        <v>0</v>
      </c>
      <c r="CT159">
        <f t="shared" si="152"/>
        <v>0</v>
      </c>
      <c r="CU159">
        <f t="shared" si="153"/>
        <v>0</v>
      </c>
      <c r="CV159">
        <f t="shared" si="154"/>
        <v>0</v>
      </c>
      <c r="CW159">
        <f t="shared" si="155"/>
        <v>0</v>
      </c>
      <c r="CX159">
        <f t="shared" si="156"/>
        <v>0</v>
      </c>
      <c r="CY159">
        <f>S159*(BZ159/100)</f>
        <v>0</v>
      </c>
      <c r="CZ159">
        <f>S159*(CA159/100)</f>
        <v>0</v>
      </c>
      <c r="DC159" t="s">
        <v>3</v>
      </c>
      <c r="DD159" t="s">
        <v>3</v>
      </c>
      <c r="DE159" t="s">
        <v>3</v>
      </c>
      <c r="DF159" t="s">
        <v>3</v>
      </c>
      <c r="DG159" t="s">
        <v>3</v>
      </c>
      <c r="DH159" t="s">
        <v>3</v>
      </c>
      <c r="DI159" t="s">
        <v>3</v>
      </c>
      <c r="DJ159" t="s">
        <v>3</v>
      </c>
      <c r="DK159" t="s">
        <v>3</v>
      </c>
      <c r="DL159" t="s">
        <v>3</v>
      </c>
      <c r="DM159" t="s">
        <v>3</v>
      </c>
      <c r="DN159">
        <v>0</v>
      </c>
      <c r="DO159">
        <v>0</v>
      </c>
      <c r="DP159">
        <v>1</v>
      </c>
      <c r="DQ159">
        <v>1</v>
      </c>
      <c r="DU159">
        <v>1013</v>
      </c>
      <c r="DV159" t="s">
        <v>31</v>
      </c>
      <c r="DW159" t="s">
        <v>31</v>
      </c>
      <c r="DX159">
        <v>1</v>
      </c>
      <c r="EE159">
        <v>45707573</v>
      </c>
      <c r="EF159">
        <v>150</v>
      </c>
      <c r="EG159" t="s">
        <v>46</v>
      </c>
      <c r="EH159">
        <v>0</v>
      </c>
      <c r="EI159" t="s">
        <v>3</v>
      </c>
      <c r="EJ159">
        <v>4</v>
      </c>
      <c r="EK159">
        <v>1113</v>
      </c>
      <c r="EL159" t="s">
        <v>47</v>
      </c>
      <c r="EM159" t="s">
        <v>48</v>
      </c>
      <c r="EO159" t="s">
        <v>3</v>
      </c>
      <c r="EQ159">
        <v>0</v>
      </c>
      <c r="ER159">
        <v>12.61</v>
      </c>
      <c r="ES159">
        <v>0</v>
      </c>
      <c r="ET159">
        <v>12.61</v>
      </c>
      <c r="EU159">
        <v>0</v>
      </c>
      <c r="EV159">
        <v>0</v>
      </c>
      <c r="EW159">
        <v>0</v>
      </c>
      <c r="EX159">
        <v>0</v>
      </c>
      <c r="EY159">
        <v>0</v>
      </c>
      <c r="FQ159">
        <v>0</v>
      </c>
      <c r="FR159">
        <f t="shared" si="157"/>
        <v>0</v>
      </c>
      <c r="FS159">
        <v>0</v>
      </c>
      <c r="FX159">
        <v>0</v>
      </c>
      <c r="FY159">
        <v>0</v>
      </c>
      <c r="GA159" t="s">
        <v>3</v>
      </c>
      <c r="GD159">
        <v>0</v>
      </c>
      <c r="GF159">
        <v>-1630031867</v>
      </c>
      <c r="GG159">
        <v>2</v>
      </c>
      <c r="GH159">
        <v>1</v>
      </c>
      <c r="GI159">
        <v>2</v>
      </c>
      <c r="GJ159">
        <v>0</v>
      </c>
      <c r="GK159">
        <f>ROUND(R159*(S12)/100,2)</f>
        <v>0</v>
      </c>
      <c r="GL159">
        <f t="shared" si="158"/>
        <v>0</v>
      </c>
      <c r="GM159">
        <f t="shared" ref="GM159:GM171" si="166">ROUND(O159+X159+Y159+GK159,2)+GX159</f>
        <v>3879.4</v>
      </c>
      <c r="GN159">
        <f t="shared" ref="GN159:GN171" si="167">IF(OR(BI159=0,BI159=1),ROUND(O159+X159+Y159+GK159,2),0)</f>
        <v>0</v>
      </c>
      <c r="GO159">
        <f t="shared" ref="GO159:GO171" si="168">IF(BI159=2,ROUND(O159+X159+Y159+GK159,2),0)</f>
        <v>0</v>
      </c>
      <c r="GP159">
        <f t="shared" ref="GP159:GP171" si="169">IF(BI159=4,ROUND(O159+X159+Y159+GK159,2)+GX159,0)</f>
        <v>3879.4</v>
      </c>
      <c r="GR159">
        <v>0</v>
      </c>
      <c r="GS159">
        <v>0</v>
      </c>
      <c r="GT159">
        <v>0</v>
      </c>
      <c r="GU159" t="s">
        <v>3</v>
      </c>
      <c r="GV159">
        <f t="shared" si="163"/>
        <v>0</v>
      </c>
      <c r="GW159">
        <v>1</v>
      </c>
      <c r="GX159">
        <f t="shared" si="164"/>
        <v>0</v>
      </c>
      <c r="HA159">
        <v>0</v>
      </c>
      <c r="HB159">
        <v>0</v>
      </c>
      <c r="HC159">
        <f t="shared" si="165"/>
        <v>0</v>
      </c>
      <c r="HE159" t="s">
        <v>3</v>
      </c>
      <c r="HF159" t="s">
        <v>3</v>
      </c>
      <c r="IK159">
        <v>0</v>
      </c>
    </row>
    <row r="160" spans="1:255" x14ac:dyDescent="0.2">
      <c r="A160" s="2">
        <v>17</v>
      </c>
      <c r="B160" s="2">
        <v>1</v>
      </c>
      <c r="C160" s="2">
        <f>ROW(SmtRes!A118)</f>
        <v>118</v>
      </c>
      <c r="D160" s="2">
        <f>ROW(EtalonRes!A118)</f>
        <v>118</v>
      </c>
      <c r="E160" s="2" t="s">
        <v>227</v>
      </c>
      <c r="F160" s="2" t="s">
        <v>228</v>
      </c>
      <c r="G160" s="2" t="s">
        <v>229</v>
      </c>
      <c r="H160" s="2" t="s">
        <v>167</v>
      </c>
      <c r="I160" s="2">
        <f>ROUND((192*0.75)/100,9)</f>
        <v>1.44</v>
      </c>
      <c r="J160" s="2">
        <v>0</v>
      </c>
      <c r="K160" s="2"/>
      <c r="L160" s="2"/>
      <c r="M160" s="2"/>
      <c r="N160" s="2"/>
      <c r="O160" s="2">
        <f t="shared" si="128"/>
        <v>408.61</v>
      </c>
      <c r="P160" s="2">
        <f t="shared" si="129"/>
        <v>0</v>
      </c>
      <c r="Q160" s="2">
        <f t="shared" si="130"/>
        <v>7.17</v>
      </c>
      <c r="R160" s="2">
        <f t="shared" si="131"/>
        <v>0.94</v>
      </c>
      <c r="S160" s="2">
        <f t="shared" si="132"/>
        <v>401.44</v>
      </c>
      <c r="T160" s="2">
        <f t="shared" si="133"/>
        <v>0</v>
      </c>
      <c r="U160" s="2">
        <f t="shared" si="134"/>
        <v>38.563200000000002</v>
      </c>
      <c r="V160" s="2">
        <f t="shared" si="135"/>
        <v>0</v>
      </c>
      <c r="W160" s="2">
        <f t="shared" si="136"/>
        <v>0</v>
      </c>
      <c r="X160" s="2">
        <f t="shared" si="137"/>
        <v>750.69</v>
      </c>
      <c r="Y160" s="2">
        <f t="shared" si="138"/>
        <v>405.45</v>
      </c>
      <c r="Z160" s="2"/>
      <c r="AA160" s="2">
        <v>45748053</v>
      </c>
      <c r="AB160" s="2">
        <f t="shared" si="139"/>
        <v>283.76</v>
      </c>
      <c r="AC160" s="2">
        <f t="shared" si="140"/>
        <v>0</v>
      </c>
      <c r="AD160" s="2">
        <f t="shared" si="141"/>
        <v>4.9800000000000004</v>
      </c>
      <c r="AE160" s="2">
        <f t="shared" si="142"/>
        <v>0.65</v>
      </c>
      <c r="AF160" s="2">
        <f t="shared" si="143"/>
        <v>278.77999999999997</v>
      </c>
      <c r="AG160" s="2">
        <f t="shared" si="144"/>
        <v>0</v>
      </c>
      <c r="AH160" s="2">
        <f t="shared" si="145"/>
        <v>26.78</v>
      </c>
      <c r="AI160" s="2">
        <f t="shared" si="146"/>
        <v>0</v>
      </c>
      <c r="AJ160" s="2">
        <f t="shared" si="147"/>
        <v>0</v>
      </c>
      <c r="AK160" s="2">
        <v>283.76</v>
      </c>
      <c r="AL160" s="2">
        <v>0</v>
      </c>
      <c r="AM160" s="2">
        <v>4.9800000000000004</v>
      </c>
      <c r="AN160" s="2">
        <v>0.65</v>
      </c>
      <c r="AO160" s="2">
        <v>278.77999999999997</v>
      </c>
      <c r="AP160" s="2">
        <v>0</v>
      </c>
      <c r="AQ160" s="2">
        <v>26.78</v>
      </c>
      <c r="AR160" s="2">
        <v>0</v>
      </c>
      <c r="AS160" s="2">
        <v>0</v>
      </c>
      <c r="AT160" s="2">
        <v>187</v>
      </c>
      <c r="AU160" s="2">
        <v>101</v>
      </c>
      <c r="AV160" s="2">
        <v>1</v>
      </c>
      <c r="AW160" s="2">
        <v>1</v>
      </c>
      <c r="AX160" s="2"/>
      <c r="AY160" s="2"/>
      <c r="AZ160" s="2">
        <v>1</v>
      </c>
      <c r="BA160" s="2">
        <v>1</v>
      </c>
      <c r="BB160" s="2">
        <v>1</v>
      </c>
      <c r="BC160" s="2">
        <v>1</v>
      </c>
      <c r="BD160" s="2" t="s">
        <v>3</v>
      </c>
      <c r="BE160" s="2" t="s">
        <v>3</v>
      </c>
      <c r="BF160" s="2" t="s">
        <v>3</v>
      </c>
      <c r="BG160" s="2" t="s">
        <v>3</v>
      </c>
      <c r="BH160" s="2">
        <v>0</v>
      </c>
      <c r="BI160" s="2">
        <v>1</v>
      </c>
      <c r="BJ160" s="2" t="s">
        <v>230</v>
      </c>
      <c r="BK160" s="2"/>
      <c r="BL160" s="2"/>
      <c r="BM160" s="2">
        <v>295</v>
      </c>
      <c r="BN160" s="2">
        <v>0</v>
      </c>
      <c r="BO160" s="2" t="s">
        <v>3</v>
      </c>
      <c r="BP160" s="2">
        <v>0</v>
      </c>
      <c r="BQ160" s="2">
        <v>30</v>
      </c>
      <c r="BR160" s="2">
        <v>0</v>
      </c>
      <c r="BS160" s="2">
        <v>1</v>
      </c>
      <c r="BT160" s="2">
        <v>1</v>
      </c>
      <c r="BU160" s="2">
        <v>1</v>
      </c>
      <c r="BV160" s="2">
        <v>1</v>
      </c>
      <c r="BW160" s="2">
        <v>1</v>
      </c>
      <c r="BX160" s="2">
        <v>1</v>
      </c>
      <c r="BY160" s="2" t="s">
        <v>3</v>
      </c>
      <c r="BZ160" s="2">
        <v>187</v>
      </c>
      <c r="CA160" s="2">
        <v>101</v>
      </c>
      <c r="CB160" s="2"/>
      <c r="CC160" s="2"/>
      <c r="CD160" s="2"/>
      <c r="CE160" s="2">
        <v>30</v>
      </c>
      <c r="CF160" s="2">
        <v>0</v>
      </c>
      <c r="CG160" s="2">
        <v>0</v>
      </c>
      <c r="CH160" s="2"/>
      <c r="CI160" s="2"/>
      <c r="CJ160" s="2"/>
      <c r="CK160" s="2"/>
      <c r="CL160" s="2"/>
      <c r="CM160" s="2">
        <v>0</v>
      </c>
      <c r="CN160" s="2" t="s">
        <v>3</v>
      </c>
      <c r="CO160" s="2">
        <v>0</v>
      </c>
      <c r="CP160" s="2">
        <f t="shared" si="148"/>
        <v>408.61</v>
      </c>
      <c r="CQ160" s="2">
        <f t="shared" si="149"/>
        <v>0</v>
      </c>
      <c r="CR160" s="2">
        <f t="shared" si="150"/>
        <v>4.9800000000000004</v>
      </c>
      <c r="CS160" s="2">
        <f t="shared" si="151"/>
        <v>0.65</v>
      </c>
      <c r="CT160" s="2">
        <f t="shared" si="152"/>
        <v>278.77999999999997</v>
      </c>
      <c r="CU160" s="2">
        <f t="shared" si="153"/>
        <v>0</v>
      </c>
      <c r="CV160" s="2">
        <f t="shared" si="154"/>
        <v>26.78</v>
      </c>
      <c r="CW160" s="2">
        <f t="shared" si="155"/>
        <v>0</v>
      </c>
      <c r="CX160" s="2">
        <f t="shared" si="156"/>
        <v>0</v>
      </c>
      <c r="CY160" s="2">
        <f>((S160*BZ160)/100)</f>
        <v>750.69280000000003</v>
      </c>
      <c r="CZ160" s="2">
        <f>((S160*CA160)/100)</f>
        <v>405.45440000000002</v>
      </c>
      <c r="DA160" s="2"/>
      <c r="DB160" s="2"/>
      <c r="DC160" s="2" t="s">
        <v>3</v>
      </c>
      <c r="DD160" s="2" t="s">
        <v>3</v>
      </c>
      <c r="DE160" s="2" t="s">
        <v>3</v>
      </c>
      <c r="DF160" s="2" t="s">
        <v>3</v>
      </c>
      <c r="DG160" s="2" t="s">
        <v>3</v>
      </c>
      <c r="DH160" s="2" t="s">
        <v>3</v>
      </c>
      <c r="DI160" s="2" t="s">
        <v>3</v>
      </c>
      <c r="DJ160" s="2" t="s">
        <v>3</v>
      </c>
      <c r="DK160" s="2" t="s">
        <v>3</v>
      </c>
      <c r="DL160" s="2" t="s">
        <v>3</v>
      </c>
      <c r="DM160" s="2" t="s">
        <v>3</v>
      </c>
      <c r="DN160" s="2">
        <v>0</v>
      </c>
      <c r="DO160" s="2">
        <v>0</v>
      </c>
      <c r="DP160" s="2">
        <v>1</v>
      </c>
      <c r="DQ160" s="2">
        <v>1</v>
      </c>
      <c r="DR160" s="2"/>
      <c r="DS160" s="2"/>
      <c r="DT160" s="2"/>
      <c r="DU160" s="2">
        <v>1005</v>
      </c>
      <c r="DV160" s="2" t="s">
        <v>167</v>
      </c>
      <c r="DW160" s="2" t="s">
        <v>167</v>
      </c>
      <c r="DX160" s="2">
        <v>100</v>
      </c>
      <c r="DY160" s="2"/>
      <c r="DZ160" s="2"/>
      <c r="EA160" s="2"/>
      <c r="EB160" s="2"/>
      <c r="EC160" s="2"/>
      <c r="ED160" s="2"/>
      <c r="EE160" s="2">
        <v>45706755</v>
      </c>
      <c r="EF160" s="2">
        <v>30</v>
      </c>
      <c r="EG160" s="2" t="s">
        <v>58</v>
      </c>
      <c r="EH160" s="2">
        <v>0</v>
      </c>
      <c r="EI160" s="2" t="s">
        <v>3</v>
      </c>
      <c r="EJ160" s="2">
        <v>1</v>
      </c>
      <c r="EK160" s="2">
        <v>295</v>
      </c>
      <c r="EL160" s="2" t="s">
        <v>231</v>
      </c>
      <c r="EM160" s="2" t="s">
        <v>232</v>
      </c>
      <c r="EN160" s="2"/>
      <c r="EO160" s="2" t="s">
        <v>3</v>
      </c>
      <c r="EP160" s="2"/>
      <c r="EQ160" s="2">
        <v>0</v>
      </c>
      <c r="ER160" s="2">
        <v>283.76</v>
      </c>
      <c r="ES160" s="2">
        <v>0</v>
      </c>
      <c r="ET160" s="2">
        <v>4.9800000000000004</v>
      </c>
      <c r="EU160" s="2">
        <v>0.65</v>
      </c>
      <c r="EV160" s="2">
        <v>278.77999999999997</v>
      </c>
      <c r="EW160" s="2">
        <v>26.78</v>
      </c>
      <c r="EX160" s="2">
        <v>0</v>
      </c>
      <c r="EY160" s="2">
        <v>0</v>
      </c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>
        <v>0</v>
      </c>
      <c r="FR160" s="2">
        <f t="shared" si="157"/>
        <v>0</v>
      </c>
      <c r="FS160" s="2">
        <v>0</v>
      </c>
      <c r="FT160" s="2"/>
      <c r="FU160" s="2"/>
      <c r="FV160" s="2"/>
      <c r="FW160" s="2"/>
      <c r="FX160" s="2">
        <v>187</v>
      </c>
      <c r="FY160" s="2">
        <v>101</v>
      </c>
      <c r="FZ160" s="2"/>
      <c r="GA160" s="2" t="s">
        <v>3</v>
      </c>
      <c r="GB160" s="2"/>
      <c r="GC160" s="2"/>
      <c r="GD160" s="2">
        <v>0</v>
      </c>
      <c r="GE160" s="2"/>
      <c r="GF160" s="2">
        <v>-1010556362</v>
      </c>
      <c r="GG160" s="2">
        <v>2</v>
      </c>
      <c r="GH160" s="2">
        <v>1</v>
      </c>
      <c r="GI160" s="2">
        <v>-2</v>
      </c>
      <c r="GJ160" s="2">
        <v>0</v>
      </c>
      <c r="GK160" s="2">
        <f>ROUND(R160*(R12)/100,2)</f>
        <v>1.65</v>
      </c>
      <c r="GL160" s="2">
        <f t="shared" si="158"/>
        <v>0</v>
      </c>
      <c r="GM160" s="2">
        <f t="shared" si="166"/>
        <v>1566.4</v>
      </c>
      <c r="GN160" s="2">
        <f t="shared" si="167"/>
        <v>1566.4</v>
      </c>
      <c r="GO160" s="2">
        <f t="shared" si="168"/>
        <v>0</v>
      </c>
      <c r="GP160" s="2">
        <f t="shared" si="169"/>
        <v>0</v>
      </c>
      <c r="GQ160" s="2"/>
      <c r="GR160" s="2">
        <v>0</v>
      </c>
      <c r="GS160" s="2">
        <v>3</v>
      </c>
      <c r="GT160" s="2">
        <v>0</v>
      </c>
      <c r="GU160" s="2" t="s">
        <v>3</v>
      </c>
      <c r="GV160" s="2">
        <f t="shared" si="163"/>
        <v>0</v>
      </c>
      <c r="GW160" s="2">
        <v>1</v>
      </c>
      <c r="GX160" s="2">
        <f t="shared" si="164"/>
        <v>0</v>
      </c>
      <c r="GY160" s="2"/>
      <c r="GZ160" s="2"/>
      <c r="HA160" s="2">
        <v>0</v>
      </c>
      <c r="HB160" s="2">
        <v>0</v>
      </c>
      <c r="HC160" s="2">
        <f t="shared" si="165"/>
        <v>0</v>
      </c>
      <c r="HD160" s="2"/>
      <c r="HE160" s="2" t="s">
        <v>3</v>
      </c>
      <c r="HF160" s="2" t="s">
        <v>3</v>
      </c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>
        <v>0</v>
      </c>
      <c r="IL160" s="2"/>
      <c r="IM160" s="2"/>
      <c r="IN160" s="2"/>
      <c r="IO160" s="2"/>
      <c r="IP160" s="2"/>
      <c r="IQ160" s="2"/>
      <c r="IR160" s="2"/>
      <c r="IS160" s="2"/>
      <c r="IT160" s="2"/>
      <c r="IU160" s="2"/>
    </row>
    <row r="161" spans="1:255" x14ac:dyDescent="0.2">
      <c r="A161">
        <v>17</v>
      </c>
      <c r="B161">
        <v>1</v>
      </c>
      <c r="C161">
        <f>ROW(SmtRes!A122)</f>
        <v>122</v>
      </c>
      <c r="D161">
        <f>ROW(EtalonRes!A122)</f>
        <v>122</v>
      </c>
      <c r="E161" t="s">
        <v>227</v>
      </c>
      <c r="F161" t="s">
        <v>228</v>
      </c>
      <c r="G161" t="s">
        <v>229</v>
      </c>
      <c r="H161" t="s">
        <v>167</v>
      </c>
      <c r="I161">
        <f>ROUND((192*0.75)/100,9)</f>
        <v>1.44</v>
      </c>
      <c r="J161">
        <v>0</v>
      </c>
      <c r="O161">
        <f t="shared" si="128"/>
        <v>10156.950000000001</v>
      </c>
      <c r="P161">
        <f t="shared" si="129"/>
        <v>0</v>
      </c>
      <c r="Q161">
        <f t="shared" si="130"/>
        <v>68.760000000000005</v>
      </c>
      <c r="R161">
        <f t="shared" si="131"/>
        <v>23.62</v>
      </c>
      <c r="S161">
        <f t="shared" si="132"/>
        <v>10088.19</v>
      </c>
      <c r="T161">
        <f t="shared" si="133"/>
        <v>0</v>
      </c>
      <c r="U161">
        <f t="shared" si="134"/>
        <v>38.563200000000002</v>
      </c>
      <c r="V161">
        <f t="shared" si="135"/>
        <v>0</v>
      </c>
      <c r="W161">
        <f t="shared" si="136"/>
        <v>0</v>
      </c>
      <c r="X161">
        <f t="shared" si="137"/>
        <v>10289.950000000001</v>
      </c>
      <c r="Y161">
        <f t="shared" si="138"/>
        <v>4741.45</v>
      </c>
      <c r="AA161">
        <v>45747932</v>
      </c>
      <c r="AB161">
        <f t="shared" si="139"/>
        <v>283.76</v>
      </c>
      <c r="AC161">
        <f t="shared" si="140"/>
        <v>0</v>
      </c>
      <c r="AD161">
        <f t="shared" si="141"/>
        <v>4.9800000000000004</v>
      </c>
      <c r="AE161">
        <f t="shared" si="142"/>
        <v>0.65</v>
      </c>
      <c r="AF161">
        <f t="shared" si="143"/>
        <v>278.77999999999997</v>
      </c>
      <c r="AG161">
        <f t="shared" si="144"/>
        <v>0</v>
      </c>
      <c r="AH161">
        <f t="shared" si="145"/>
        <v>26.78</v>
      </c>
      <c r="AI161">
        <f t="shared" si="146"/>
        <v>0</v>
      </c>
      <c r="AJ161">
        <f t="shared" si="147"/>
        <v>0</v>
      </c>
      <c r="AK161">
        <v>283.76</v>
      </c>
      <c r="AL161">
        <v>0</v>
      </c>
      <c r="AM161">
        <v>4.9800000000000004</v>
      </c>
      <c r="AN161">
        <v>0.65</v>
      </c>
      <c r="AO161">
        <v>278.77999999999997</v>
      </c>
      <c r="AP161">
        <v>0</v>
      </c>
      <c r="AQ161">
        <v>26.78</v>
      </c>
      <c r="AR161">
        <v>0</v>
      </c>
      <c r="AS161">
        <v>0</v>
      </c>
      <c r="AT161">
        <v>102</v>
      </c>
      <c r="AU161">
        <v>47</v>
      </c>
      <c r="AV161">
        <v>1</v>
      </c>
      <c r="AW161">
        <v>1</v>
      </c>
      <c r="AZ161">
        <v>1</v>
      </c>
      <c r="BA161">
        <v>25.13</v>
      </c>
      <c r="BB161">
        <v>9.59</v>
      </c>
      <c r="BC161">
        <v>1</v>
      </c>
      <c r="BD161" t="s">
        <v>3</v>
      </c>
      <c r="BE161" t="s">
        <v>3</v>
      </c>
      <c r="BF161" t="s">
        <v>3</v>
      </c>
      <c r="BG161" t="s">
        <v>3</v>
      </c>
      <c r="BH161">
        <v>0</v>
      </c>
      <c r="BI161">
        <v>1</v>
      </c>
      <c r="BJ161" t="s">
        <v>230</v>
      </c>
      <c r="BM161">
        <v>295</v>
      </c>
      <c r="BN161">
        <v>0</v>
      </c>
      <c r="BO161" t="s">
        <v>228</v>
      </c>
      <c r="BP161">
        <v>1</v>
      </c>
      <c r="BQ161">
        <v>30</v>
      </c>
      <c r="BR161">
        <v>0</v>
      </c>
      <c r="BS161">
        <v>25.13</v>
      </c>
      <c r="BT161">
        <v>1</v>
      </c>
      <c r="BU161">
        <v>1</v>
      </c>
      <c r="BV161">
        <v>1</v>
      </c>
      <c r="BW161">
        <v>1</v>
      </c>
      <c r="BX161">
        <v>1</v>
      </c>
      <c r="BY161" t="s">
        <v>3</v>
      </c>
      <c r="BZ161">
        <v>102</v>
      </c>
      <c r="CA161">
        <v>47</v>
      </c>
      <c r="CE161">
        <v>30</v>
      </c>
      <c r="CF161">
        <v>0</v>
      </c>
      <c r="CG161">
        <v>0</v>
      </c>
      <c r="CM161">
        <v>0</v>
      </c>
      <c r="CN161" t="s">
        <v>3</v>
      </c>
      <c r="CO161">
        <v>0</v>
      </c>
      <c r="CP161">
        <f t="shared" si="148"/>
        <v>10156.950000000001</v>
      </c>
      <c r="CQ161">
        <f t="shared" si="149"/>
        <v>0</v>
      </c>
      <c r="CR161">
        <f t="shared" si="150"/>
        <v>47.76</v>
      </c>
      <c r="CS161">
        <f t="shared" si="151"/>
        <v>16.329999999999998</v>
      </c>
      <c r="CT161">
        <f t="shared" si="152"/>
        <v>7005.74</v>
      </c>
      <c r="CU161">
        <f t="shared" si="153"/>
        <v>0</v>
      </c>
      <c r="CV161">
        <f t="shared" si="154"/>
        <v>26.78</v>
      </c>
      <c r="CW161">
        <f t="shared" si="155"/>
        <v>0</v>
      </c>
      <c r="CX161">
        <f t="shared" si="156"/>
        <v>0</v>
      </c>
      <c r="CY161">
        <f>S161*(BZ161/100)</f>
        <v>10289.953800000001</v>
      </c>
      <c r="CZ161">
        <f>S161*(CA161/100)</f>
        <v>4741.4493000000002</v>
      </c>
      <c r="DC161" t="s">
        <v>3</v>
      </c>
      <c r="DD161" t="s">
        <v>3</v>
      </c>
      <c r="DE161" t="s">
        <v>3</v>
      </c>
      <c r="DF161" t="s">
        <v>3</v>
      </c>
      <c r="DG161" t="s">
        <v>3</v>
      </c>
      <c r="DH161" t="s">
        <v>3</v>
      </c>
      <c r="DI161" t="s">
        <v>3</v>
      </c>
      <c r="DJ161" t="s">
        <v>3</v>
      </c>
      <c r="DK161" t="s">
        <v>3</v>
      </c>
      <c r="DL161" t="s">
        <v>3</v>
      </c>
      <c r="DM161" t="s">
        <v>3</v>
      </c>
      <c r="DN161">
        <v>187</v>
      </c>
      <c r="DO161">
        <v>101</v>
      </c>
      <c r="DP161">
        <v>1</v>
      </c>
      <c r="DQ161">
        <v>1</v>
      </c>
      <c r="DU161">
        <v>1005</v>
      </c>
      <c r="DV161" t="s">
        <v>167</v>
      </c>
      <c r="DW161" t="s">
        <v>167</v>
      </c>
      <c r="DX161">
        <v>100</v>
      </c>
      <c r="EE161">
        <v>45706755</v>
      </c>
      <c r="EF161">
        <v>30</v>
      </c>
      <c r="EG161" t="s">
        <v>58</v>
      </c>
      <c r="EH161">
        <v>0</v>
      </c>
      <c r="EI161" t="s">
        <v>3</v>
      </c>
      <c r="EJ161">
        <v>1</v>
      </c>
      <c r="EK161">
        <v>295</v>
      </c>
      <c r="EL161" t="s">
        <v>231</v>
      </c>
      <c r="EM161" t="s">
        <v>232</v>
      </c>
      <c r="EO161" t="s">
        <v>3</v>
      </c>
      <c r="EQ161">
        <v>0</v>
      </c>
      <c r="ER161">
        <v>283.76</v>
      </c>
      <c r="ES161">
        <v>0</v>
      </c>
      <c r="ET161">
        <v>4.9800000000000004</v>
      </c>
      <c r="EU161">
        <v>0.65</v>
      </c>
      <c r="EV161">
        <v>278.77999999999997</v>
      </c>
      <c r="EW161">
        <v>26.78</v>
      </c>
      <c r="EX161">
        <v>0</v>
      </c>
      <c r="EY161">
        <v>0</v>
      </c>
      <c r="FQ161">
        <v>0</v>
      </c>
      <c r="FR161">
        <f t="shared" si="157"/>
        <v>0</v>
      </c>
      <c r="FS161">
        <v>0</v>
      </c>
      <c r="FX161">
        <v>187</v>
      </c>
      <c r="FY161">
        <v>101</v>
      </c>
      <c r="GA161" t="s">
        <v>3</v>
      </c>
      <c r="GD161">
        <v>0</v>
      </c>
      <c r="GF161">
        <v>-1010556362</v>
      </c>
      <c r="GG161">
        <v>2</v>
      </c>
      <c r="GH161">
        <v>1</v>
      </c>
      <c r="GI161">
        <v>2</v>
      </c>
      <c r="GJ161">
        <v>0</v>
      </c>
      <c r="GK161">
        <f>ROUND(R161*(S12)/100,2)</f>
        <v>37.08</v>
      </c>
      <c r="GL161">
        <f t="shared" si="158"/>
        <v>0</v>
      </c>
      <c r="GM161">
        <f t="shared" si="166"/>
        <v>25225.43</v>
      </c>
      <c r="GN161">
        <f t="shared" si="167"/>
        <v>25225.43</v>
      </c>
      <c r="GO161">
        <f t="shared" si="168"/>
        <v>0</v>
      </c>
      <c r="GP161">
        <f t="shared" si="169"/>
        <v>0</v>
      </c>
      <c r="GR161">
        <v>0</v>
      </c>
      <c r="GS161">
        <v>3</v>
      </c>
      <c r="GT161">
        <v>0</v>
      </c>
      <c r="GU161" t="s">
        <v>3</v>
      </c>
      <c r="GV161">
        <f t="shared" si="163"/>
        <v>0</v>
      </c>
      <c r="GW161">
        <v>1</v>
      </c>
      <c r="GX161">
        <f t="shared" si="164"/>
        <v>0</v>
      </c>
      <c r="HA161">
        <v>0</v>
      </c>
      <c r="HB161">
        <v>0</v>
      </c>
      <c r="HC161">
        <f t="shared" si="165"/>
        <v>0</v>
      </c>
      <c r="HE161" t="s">
        <v>3</v>
      </c>
      <c r="HF161" t="s">
        <v>3</v>
      </c>
      <c r="IK161">
        <v>0</v>
      </c>
    </row>
    <row r="162" spans="1:255" x14ac:dyDescent="0.2">
      <c r="A162" s="2">
        <v>18</v>
      </c>
      <c r="B162" s="2">
        <v>1</v>
      </c>
      <c r="C162" s="2">
        <v>118</v>
      </c>
      <c r="D162" s="2"/>
      <c r="E162" s="2" t="s">
        <v>233</v>
      </c>
      <c r="F162" s="2" t="s">
        <v>234</v>
      </c>
      <c r="G162" s="2" t="s">
        <v>235</v>
      </c>
      <c r="H162" s="2" t="s">
        <v>150</v>
      </c>
      <c r="I162" s="2">
        <f>I160*J162</f>
        <v>21.6</v>
      </c>
      <c r="J162" s="2">
        <v>15.000000000000002</v>
      </c>
      <c r="K162" s="2"/>
      <c r="L162" s="2"/>
      <c r="M162" s="2"/>
      <c r="N162" s="2"/>
      <c r="O162" s="2">
        <f t="shared" si="128"/>
        <v>3171.74</v>
      </c>
      <c r="P162" s="2">
        <f t="shared" si="129"/>
        <v>3171.74</v>
      </c>
      <c r="Q162" s="2">
        <f t="shared" si="130"/>
        <v>0</v>
      </c>
      <c r="R162" s="2">
        <f t="shared" si="131"/>
        <v>0</v>
      </c>
      <c r="S162" s="2">
        <f t="shared" si="132"/>
        <v>0</v>
      </c>
      <c r="T162" s="2">
        <f t="shared" si="133"/>
        <v>0</v>
      </c>
      <c r="U162" s="2">
        <f t="shared" si="134"/>
        <v>0</v>
      </c>
      <c r="V162" s="2">
        <f t="shared" si="135"/>
        <v>0</v>
      </c>
      <c r="W162" s="2">
        <f t="shared" si="136"/>
        <v>0</v>
      </c>
      <c r="X162" s="2">
        <f t="shared" si="137"/>
        <v>0</v>
      </c>
      <c r="Y162" s="2">
        <f t="shared" si="138"/>
        <v>0</v>
      </c>
      <c r="Z162" s="2"/>
      <c r="AA162" s="2">
        <v>45748053</v>
      </c>
      <c r="AB162" s="2">
        <f t="shared" si="139"/>
        <v>146.84</v>
      </c>
      <c r="AC162" s="2">
        <f t="shared" si="140"/>
        <v>146.84</v>
      </c>
      <c r="AD162" s="2">
        <f t="shared" si="141"/>
        <v>0</v>
      </c>
      <c r="AE162" s="2">
        <f t="shared" si="142"/>
        <v>0</v>
      </c>
      <c r="AF162" s="2">
        <f t="shared" si="143"/>
        <v>0</v>
      </c>
      <c r="AG162" s="2">
        <f t="shared" si="144"/>
        <v>0</v>
      </c>
      <c r="AH162" s="2">
        <f t="shared" si="145"/>
        <v>0</v>
      </c>
      <c r="AI162" s="2">
        <f t="shared" si="146"/>
        <v>0</v>
      </c>
      <c r="AJ162" s="2">
        <f t="shared" si="147"/>
        <v>0</v>
      </c>
      <c r="AK162" s="2">
        <v>146.84</v>
      </c>
      <c r="AL162" s="2">
        <v>146.84</v>
      </c>
      <c r="AM162" s="2">
        <v>0</v>
      </c>
      <c r="AN162" s="2">
        <v>0</v>
      </c>
      <c r="AO162" s="2">
        <v>0</v>
      </c>
      <c r="AP162" s="2">
        <v>0</v>
      </c>
      <c r="AQ162" s="2">
        <v>0</v>
      </c>
      <c r="AR162" s="2">
        <v>0</v>
      </c>
      <c r="AS162" s="2">
        <v>0</v>
      </c>
      <c r="AT162" s="2">
        <v>187</v>
      </c>
      <c r="AU162" s="2">
        <v>101</v>
      </c>
      <c r="AV162" s="2">
        <v>1</v>
      </c>
      <c r="AW162" s="2">
        <v>1</v>
      </c>
      <c r="AX162" s="2"/>
      <c r="AY162" s="2"/>
      <c r="AZ162" s="2">
        <v>1</v>
      </c>
      <c r="BA162" s="2">
        <v>1</v>
      </c>
      <c r="BB162" s="2">
        <v>1</v>
      </c>
      <c r="BC162" s="2">
        <v>1</v>
      </c>
      <c r="BD162" s="2" t="s">
        <v>3</v>
      </c>
      <c r="BE162" s="2" t="s">
        <v>3</v>
      </c>
      <c r="BF162" s="2" t="s">
        <v>3</v>
      </c>
      <c r="BG162" s="2" t="s">
        <v>3</v>
      </c>
      <c r="BH162" s="2">
        <v>3</v>
      </c>
      <c r="BI162" s="2">
        <v>1</v>
      </c>
      <c r="BJ162" s="2" t="s">
        <v>236</v>
      </c>
      <c r="BK162" s="2"/>
      <c r="BL162" s="2"/>
      <c r="BM162" s="2">
        <v>295</v>
      </c>
      <c r="BN162" s="2">
        <v>0</v>
      </c>
      <c r="BO162" s="2" t="s">
        <v>3</v>
      </c>
      <c r="BP162" s="2">
        <v>0</v>
      </c>
      <c r="BQ162" s="2">
        <v>30</v>
      </c>
      <c r="BR162" s="2">
        <v>0</v>
      </c>
      <c r="BS162" s="2">
        <v>1</v>
      </c>
      <c r="BT162" s="2">
        <v>1</v>
      </c>
      <c r="BU162" s="2">
        <v>1</v>
      </c>
      <c r="BV162" s="2">
        <v>1</v>
      </c>
      <c r="BW162" s="2">
        <v>1</v>
      </c>
      <c r="BX162" s="2">
        <v>1</v>
      </c>
      <c r="BY162" s="2" t="s">
        <v>3</v>
      </c>
      <c r="BZ162" s="2">
        <v>187</v>
      </c>
      <c r="CA162" s="2">
        <v>101</v>
      </c>
      <c r="CB162" s="2"/>
      <c r="CC162" s="2"/>
      <c r="CD162" s="2"/>
      <c r="CE162" s="2">
        <v>30</v>
      </c>
      <c r="CF162" s="2">
        <v>0</v>
      </c>
      <c r="CG162" s="2">
        <v>0</v>
      </c>
      <c r="CH162" s="2"/>
      <c r="CI162" s="2"/>
      <c r="CJ162" s="2"/>
      <c r="CK162" s="2"/>
      <c r="CL162" s="2"/>
      <c r="CM162" s="2">
        <v>0</v>
      </c>
      <c r="CN162" s="2" t="s">
        <v>3</v>
      </c>
      <c r="CO162" s="2">
        <v>0</v>
      </c>
      <c r="CP162" s="2">
        <f t="shared" si="148"/>
        <v>3171.74</v>
      </c>
      <c r="CQ162" s="2">
        <f t="shared" si="149"/>
        <v>146.84</v>
      </c>
      <c r="CR162" s="2">
        <f t="shared" si="150"/>
        <v>0</v>
      </c>
      <c r="CS162" s="2">
        <f t="shared" si="151"/>
        <v>0</v>
      </c>
      <c r="CT162" s="2">
        <f t="shared" si="152"/>
        <v>0</v>
      </c>
      <c r="CU162" s="2">
        <f t="shared" si="153"/>
        <v>0</v>
      </c>
      <c r="CV162" s="2">
        <f t="shared" si="154"/>
        <v>0</v>
      </c>
      <c r="CW162" s="2">
        <f t="shared" si="155"/>
        <v>0</v>
      </c>
      <c r="CX162" s="2">
        <f t="shared" si="156"/>
        <v>0</v>
      </c>
      <c r="CY162" s="2">
        <f>((S162*BZ162)/100)</f>
        <v>0</v>
      </c>
      <c r="CZ162" s="2">
        <f>((S162*CA162)/100)</f>
        <v>0</v>
      </c>
      <c r="DA162" s="2"/>
      <c r="DB162" s="2"/>
      <c r="DC162" s="2" t="s">
        <v>3</v>
      </c>
      <c r="DD162" s="2" t="s">
        <v>3</v>
      </c>
      <c r="DE162" s="2" t="s">
        <v>3</v>
      </c>
      <c r="DF162" s="2" t="s">
        <v>3</v>
      </c>
      <c r="DG162" s="2" t="s">
        <v>3</v>
      </c>
      <c r="DH162" s="2" t="s">
        <v>3</v>
      </c>
      <c r="DI162" s="2" t="s">
        <v>3</v>
      </c>
      <c r="DJ162" s="2" t="s">
        <v>3</v>
      </c>
      <c r="DK162" s="2" t="s">
        <v>3</v>
      </c>
      <c r="DL162" s="2" t="s">
        <v>3</v>
      </c>
      <c r="DM162" s="2" t="s">
        <v>3</v>
      </c>
      <c r="DN162" s="2">
        <v>0</v>
      </c>
      <c r="DO162" s="2">
        <v>0</v>
      </c>
      <c r="DP162" s="2">
        <v>1</v>
      </c>
      <c r="DQ162" s="2">
        <v>1</v>
      </c>
      <c r="DR162" s="2"/>
      <c r="DS162" s="2"/>
      <c r="DT162" s="2"/>
      <c r="DU162" s="2">
        <v>1007</v>
      </c>
      <c r="DV162" s="2" t="s">
        <v>150</v>
      </c>
      <c r="DW162" s="2" t="s">
        <v>150</v>
      </c>
      <c r="DX162" s="2">
        <v>1</v>
      </c>
      <c r="DY162" s="2"/>
      <c r="DZ162" s="2"/>
      <c r="EA162" s="2"/>
      <c r="EB162" s="2"/>
      <c r="EC162" s="2"/>
      <c r="ED162" s="2"/>
      <c r="EE162" s="2">
        <v>45706755</v>
      </c>
      <c r="EF162" s="2">
        <v>30</v>
      </c>
      <c r="EG162" s="2" t="s">
        <v>58</v>
      </c>
      <c r="EH162" s="2">
        <v>0</v>
      </c>
      <c r="EI162" s="2" t="s">
        <v>3</v>
      </c>
      <c r="EJ162" s="2">
        <v>1</v>
      </c>
      <c r="EK162" s="2">
        <v>295</v>
      </c>
      <c r="EL162" s="2" t="s">
        <v>231</v>
      </c>
      <c r="EM162" s="2" t="s">
        <v>232</v>
      </c>
      <c r="EN162" s="2"/>
      <c r="EO162" s="2" t="s">
        <v>3</v>
      </c>
      <c r="EP162" s="2"/>
      <c r="EQ162" s="2">
        <v>0</v>
      </c>
      <c r="ER162" s="2">
        <v>146.84</v>
      </c>
      <c r="ES162" s="2">
        <v>146.84</v>
      </c>
      <c r="ET162" s="2">
        <v>0</v>
      </c>
      <c r="EU162" s="2">
        <v>0</v>
      </c>
      <c r="EV162" s="2">
        <v>0</v>
      </c>
      <c r="EW162" s="2">
        <v>0</v>
      </c>
      <c r="EX162" s="2">
        <v>0</v>
      </c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>
        <v>0</v>
      </c>
      <c r="FR162" s="2">
        <f t="shared" si="157"/>
        <v>0</v>
      </c>
      <c r="FS162" s="2">
        <v>0</v>
      </c>
      <c r="FT162" s="2"/>
      <c r="FU162" s="2"/>
      <c r="FV162" s="2"/>
      <c r="FW162" s="2"/>
      <c r="FX162" s="2">
        <v>187</v>
      </c>
      <c r="FY162" s="2">
        <v>101</v>
      </c>
      <c r="FZ162" s="2"/>
      <c r="GA162" s="2" t="s">
        <v>3</v>
      </c>
      <c r="GB162" s="2"/>
      <c r="GC162" s="2"/>
      <c r="GD162" s="2">
        <v>0</v>
      </c>
      <c r="GE162" s="2"/>
      <c r="GF162" s="2">
        <v>92320855</v>
      </c>
      <c r="GG162" s="2">
        <v>2</v>
      </c>
      <c r="GH162" s="2">
        <v>1</v>
      </c>
      <c r="GI162" s="2">
        <v>-2</v>
      </c>
      <c r="GJ162" s="2">
        <v>0</v>
      </c>
      <c r="GK162" s="2">
        <f>ROUND(R162*(R12)/100,2)</f>
        <v>0</v>
      </c>
      <c r="GL162" s="2">
        <f t="shared" si="158"/>
        <v>0</v>
      </c>
      <c r="GM162" s="2">
        <f t="shared" si="166"/>
        <v>3171.74</v>
      </c>
      <c r="GN162" s="2">
        <f t="shared" si="167"/>
        <v>3171.74</v>
      </c>
      <c r="GO162" s="2">
        <f t="shared" si="168"/>
        <v>0</v>
      </c>
      <c r="GP162" s="2">
        <f t="shared" si="169"/>
        <v>0</v>
      </c>
      <c r="GQ162" s="2"/>
      <c r="GR162" s="2">
        <v>0</v>
      </c>
      <c r="GS162" s="2">
        <v>3</v>
      </c>
      <c r="GT162" s="2">
        <v>0</v>
      </c>
      <c r="GU162" s="2" t="s">
        <v>3</v>
      </c>
      <c r="GV162" s="2">
        <f t="shared" si="163"/>
        <v>0</v>
      </c>
      <c r="GW162" s="2">
        <v>1</v>
      </c>
      <c r="GX162" s="2">
        <f t="shared" si="164"/>
        <v>0</v>
      </c>
      <c r="GY162" s="2"/>
      <c r="GZ162" s="2"/>
      <c r="HA162" s="2">
        <v>0</v>
      </c>
      <c r="HB162" s="2">
        <v>0</v>
      </c>
      <c r="HC162" s="2">
        <f t="shared" si="165"/>
        <v>0</v>
      </c>
      <c r="HD162" s="2"/>
      <c r="HE162" s="2" t="s">
        <v>3</v>
      </c>
      <c r="HF162" s="2" t="s">
        <v>3</v>
      </c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>
        <v>0</v>
      </c>
      <c r="IL162" s="2"/>
      <c r="IM162" s="2"/>
      <c r="IN162" s="2"/>
      <c r="IO162" s="2"/>
      <c r="IP162" s="2"/>
      <c r="IQ162" s="2"/>
      <c r="IR162" s="2"/>
      <c r="IS162" s="2"/>
      <c r="IT162" s="2"/>
      <c r="IU162" s="2"/>
    </row>
    <row r="163" spans="1:255" x14ac:dyDescent="0.2">
      <c r="A163">
        <v>18</v>
      </c>
      <c r="B163">
        <v>1</v>
      </c>
      <c r="C163">
        <v>122</v>
      </c>
      <c r="E163" t="s">
        <v>233</v>
      </c>
      <c r="F163" t="s">
        <v>234</v>
      </c>
      <c r="G163" t="s">
        <v>235</v>
      </c>
      <c r="H163" t="s">
        <v>150</v>
      </c>
      <c r="I163">
        <f>I161*J163</f>
        <v>21.6</v>
      </c>
      <c r="J163">
        <v>15.000000000000002</v>
      </c>
      <c r="O163">
        <f t="shared" si="128"/>
        <v>20203.98</v>
      </c>
      <c r="P163">
        <f t="shared" si="129"/>
        <v>20203.98</v>
      </c>
      <c r="Q163">
        <f t="shared" si="130"/>
        <v>0</v>
      </c>
      <c r="R163">
        <f t="shared" si="131"/>
        <v>0</v>
      </c>
      <c r="S163">
        <f t="shared" si="132"/>
        <v>0</v>
      </c>
      <c r="T163">
        <f t="shared" si="133"/>
        <v>0</v>
      </c>
      <c r="U163">
        <f t="shared" si="134"/>
        <v>0</v>
      </c>
      <c r="V163">
        <f t="shared" si="135"/>
        <v>0</v>
      </c>
      <c r="W163">
        <f t="shared" si="136"/>
        <v>0</v>
      </c>
      <c r="X163">
        <f t="shared" si="137"/>
        <v>0</v>
      </c>
      <c r="Y163">
        <f t="shared" si="138"/>
        <v>0</v>
      </c>
      <c r="AA163">
        <v>45747932</v>
      </c>
      <c r="AB163">
        <f t="shared" si="139"/>
        <v>146.84</v>
      </c>
      <c r="AC163">
        <f t="shared" si="140"/>
        <v>146.84</v>
      </c>
      <c r="AD163">
        <f t="shared" si="141"/>
        <v>0</v>
      </c>
      <c r="AE163">
        <f t="shared" si="142"/>
        <v>0</v>
      </c>
      <c r="AF163">
        <f t="shared" si="143"/>
        <v>0</v>
      </c>
      <c r="AG163">
        <f t="shared" si="144"/>
        <v>0</v>
      </c>
      <c r="AH163">
        <f t="shared" si="145"/>
        <v>0</v>
      </c>
      <c r="AI163">
        <f t="shared" si="146"/>
        <v>0</v>
      </c>
      <c r="AJ163">
        <f t="shared" si="147"/>
        <v>0</v>
      </c>
      <c r="AK163">
        <v>146.84</v>
      </c>
      <c r="AL163">
        <v>146.84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  <c r="AS163">
        <v>0</v>
      </c>
      <c r="AT163">
        <v>0</v>
      </c>
      <c r="AU163">
        <v>0</v>
      </c>
      <c r="AV163">
        <v>1</v>
      </c>
      <c r="AW163">
        <v>1</v>
      </c>
      <c r="AZ163">
        <v>1</v>
      </c>
      <c r="BA163">
        <v>1</v>
      </c>
      <c r="BB163">
        <v>1</v>
      </c>
      <c r="BC163">
        <v>6.37</v>
      </c>
      <c r="BD163" t="s">
        <v>3</v>
      </c>
      <c r="BE163" t="s">
        <v>3</v>
      </c>
      <c r="BF163" t="s">
        <v>3</v>
      </c>
      <c r="BG163" t="s">
        <v>3</v>
      </c>
      <c r="BH163">
        <v>3</v>
      </c>
      <c r="BI163">
        <v>1</v>
      </c>
      <c r="BJ163" t="s">
        <v>236</v>
      </c>
      <c r="BM163">
        <v>295</v>
      </c>
      <c r="BN163">
        <v>0</v>
      </c>
      <c r="BO163" t="s">
        <v>234</v>
      </c>
      <c r="BP163">
        <v>1</v>
      </c>
      <c r="BQ163">
        <v>30</v>
      </c>
      <c r="BR163">
        <v>0</v>
      </c>
      <c r="BS163">
        <v>1</v>
      </c>
      <c r="BT163">
        <v>1</v>
      </c>
      <c r="BU163">
        <v>1</v>
      </c>
      <c r="BV163">
        <v>1</v>
      </c>
      <c r="BW163">
        <v>1</v>
      </c>
      <c r="BX163">
        <v>1</v>
      </c>
      <c r="BY163" t="s">
        <v>3</v>
      </c>
      <c r="BZ163">
        <v>0</v>
      </c>
      <c r="CA163">
        <v>0</v>
      </c>
      <c r="CE163">
        <v>30</v>
      </c>
      <c r="CF163">
        <v>0</v>
      </c>
      <c r="CG163">
        <v>0</v>
      </c>
      <c r="CM163">
        <v>0</v>
      </c>
      <c r="CN163" t="s">
        <v>3</v>
      </c>
      <c r="CO163">
        <v>0</v>
      </c>
      <c r="CP163">
        <f t="shared" si="148"/>
        <v>20203.98</v>
      </c>
      <c r="CQ163">
        <f t="shared" si="149"/>
        <v>935.37</v>
      </c>
      <c r="CR163">
        <f t="shared" si="150"/>
        <v>0</v>
      </c>
      <c r="CS163">
        <f t="shared" si="151"/>
        <v>0</v>
      </c>
      <c r="CT163">
        <f t="shared" si="152"/>
        <v>0</v>
      </c>
      <c r="CU163">
        <f t="shared" si="153"/>
        <v>0</v>
      </c>
      <c r="CV163">
        <f t="shared" si="154"/>
        <v>0</v>
      </c>
      <c r="CW163">
        <f t="shared" si="155"/>
        <v>0</v>
      </c>
      <c r="CX163">
        <f t="shared" si="156"/>
        <v>0</v>
      </c>
      <c r="CY163">
        <f>S163*(BZ163/100)</f>
        <v>0</v>
      </c>
      <c r="CZ163">
        <f>S163*(CA163/100)</f>
        <v>0</v>
      </c>
      <c r="DC163" t="s">
        <v>3</v>
      </c>
      <c r="DD163" t="s">
        <v>3</v>
      </c>
      <c r="DE163" t="s">
        <v>3</v>
      </c>
      <c r="DF163" t="s">
        <v>3</v>
      </c>
      <c r="DG163" t="s">
        <v>3</v>
      </c>
      <c r="DH163" t="s">
        <v>3</v>
      </c>
      <c r="DI163" t="s">
        <v>3</v>
      </c>
      <c r="DJ163" t="s">
        <v>3</v>
      </c>
      <c r="DK163" t="s">
        <v>3</v>
      </c>
      <c r="DL163" t="s">
        <v>3</v>
      </c>
      <c r="DM163" t="s">
        <v>3</v>
      </c>
      <c r="DN163">
        <v>187</v>
      </c>
      <c r="DO163">
        <v>101</v>
      </c>
      <c r="DP163">
        <v>1</v>
      </c>
      <c r="DQ163">
        <v>1</v>
      </c>
      <c r="DU163">
        <v>1007</v>
      </c>
      <c r="DV163" t="s">
        <v>150</v>
      </c>
      <c r="DW163" t="s">
        <v>150</v>
      </c>
      <c r="DX163">
        <v>1</v>
      </c>
      <c r="EE163">
        <v>45706755</v>
      </c>
      <c r="EF163">
        <v>30</v>
      </c>
      <c r="EG163" t="s">
        <v>58</v>
      </c>
      <c r="EH163">
        <v>0</v>
      </c>
      <c r="EI163" t="s">
        <v>3</v>
      </c>
      <c r="EJ163">
        <v>1</v>
      </c>
      <c r="EK163">
        <v>295</v>
      </c>
      <c r="EL163" t="s">
        <v>231</v>
      </c>
      <c r="EM163" t="s">
        <v>232</v>
      </c>
      <c r="EO163" t="s">
        <v>3</v>
      </c>
      <c r="EQ163">
        <v>0</v>
      </c>
      <c r="ER163">
        <v>146.84</v>
      </c>
      <c r="ES163">
        <v>146.84</v>
      </c>
      <c r="ET163">
        <v>0</v>
      </c>
      <c r="EU163">
        <v>0</v>
      </c>
      <c r="EV163">
        <v>0</v>
      </c>
      <c r="EW163">
        <v>0</v>
      </c>
      <c r="EX163">
        <v>0</v>
      </c>
      <c r="FQ163">
        <v>0</v>
      </c>
      <c r="FR163">
        <f t="shared" si="157"/>
        <v>0</v>
      </c>
      <c r="FS163">
        <v>0</v>
      </c>
      <c r="FX163">
        <v>187</v>
      </c>
      <c r="FY163">
        <v>101</v>
      </c>
      <c r="GA163" t="s">
        <v>3</v>
      </c>
      <c r="GD163">
        <v>0</v>
      </c>
      <c r="GF163">
        <v>92320855</v>
      </c>
      <c r="GG163">
        <v>2</v>
      </c>
      <c r="GH163">
        <v>1</v>
      </c>
      <c r="GI163">
        <v>2</v>
      </c>
      <c r="GJ163">
        <v>0</v>
      </c>
      <c r="GK163">
        <f>ROUND(R163*(S12)/100,2)</f>
        <v>0</v>
      </c>
      <c r="GL163">
        <f t="shared" si="158"/>
        <v>0</v>
      </c>
      <c r="GM163">
        <f t="shared" si="166"/>
        <v>20203.98</v>
      </c>
      <c r="GN163">
        <f t="shared" si="167"/>
        <v>20203.98</v>
      </c>
      <c r="GO163">
        <f t="shared" si="168"/>
        <v>0</v>
      </c>
      <c r="GP163">
        <f t="shared" si="169"/>
        <v>0</v>
      </c>
      <c r="GR163">
        <v>0</v>
      </c>
      <c r="GS163">
        <v>3</v>
      </c>
      <c r="GT163">
        <v>0</v>
      </c>
      <c r="GU163" t="s">
        <v>3</v>
      </c>
      <c r="GV163">
        <f t="shared" si="163"/>
        <v>0</v>
      </c>
      <c r="GW163">
        <v>1</v>
      </c>
      <c r="GX163">
        <f t="shared" si="164"/>
        <v>0</v>
      </c>
      <c r="HA163">
        <v>0</v>
      </c>
      <c r="HB163">
        <v>0</v>
      </c>
      <c r="HC163">
        <f t="shared" si="165"/>
        <v>0</v>
      </c>
      <c r="HE163" t="s">
        <v>3</v>
      </c>
      <c r="HF163" t="s">
        <v>3</v>
      </c>
      <c r="IK163">
        <v>0</v>
      </c>
    </row>
    <row r="164" spans="1:255" x14ac:dyDescent="0.2">
      <c r="A164" s="2">
        <v>17</v>
      </c>
      <c r="B164" s="2">
        <v>1</v>
      </c>
      <c r="C164" s="2">
        <f>ROW(SmtRes!A124)</f>
        <v>124</v>
      </c>
      <c r="D164" s="2">
        <f>ROW(EtalonRes!A124)</f>
        <v>124</v>
      </c>
      <c r="E164" s="2" t="s">
        <v>237</v>
      </c>
      <c r="F164" s="2" t="s">
        <v>238</v>
      </c>
      <c r="G164" s="2" t="s">
        <v>239</v>
      </c>
      <c r="H164" s="2" t="s">
        <v>167</v>
      </c>
      <c r="I164" s="2">
        <f>ROUND((192*0.25)/100,9)</f>
        <v>0.48</v>
      </c>
      <c r="J164" s="2">
        <v>0</v>
      </c>
      <c r="K164" s="2"/>
      <c r="L164" s="2"/>
      <c r="M164" s="2"/>
      <c r="N164" s="2"/>
      <c r="O164" s="2">
        <f t="shared" si="128"/>
        <v>199.87</v>
      </c>
      <c r="P164" s="2">
        <f t="shared" si="129"/>
        <v>0</v>
      </c>
      <c r="Q164" s="2">
        <f t="shared" si="130"/>
        <v>0</v>
      </c>
      <c r="R164" s="2">
        <f t="shared" si="131"/>
        <v>0</v>
      </c>
      <c r="S164" s="2">
        <f t="shared" si="132"/>
        <v>199.87</v>
      </c>
      <c r="T164" s="2">
        <f t="shared" si="133"/>
        <v>0</v>
      </c>
      <c r="U164" s="2">
        <f t="shared" si="134"/>
        <v>19.2</v>
      </c>
      <c r="V164" s="2">
        <f t="shared" si="135"/>
        <v>0</v>
      </c>
      <c r="W164" s="2">
        <f t="shared" si="136"/>
        <v>0</v>
      </c>
      <c r="X164" s="2">
        <f t="shared" si="137"/>
        <v>373.76</v>
      </c>
      <c r="Y164" s="2">
        <f t="shared" si="138"/>
        <v>201.87</v>
      </c>
      <c r="Z164" s="2"/>
      <c r="AA164" s="2">
        <v>45748053</v>
      </c>
      <c r="AB164" s="2">
        <f t="shared" si="139"/>
        <v>416.4</v>
      </c>
      <c r="AC164" s="2">
        <f t="shared" si="140"/>
        <v>0</v>
      </c>
      <c r="AD164" s="2">
        <f t="shared" si="141"/>
        <v>0</v>
      </c>
      <c r="AE164" s="2">
        <f t="shared" si="142"/>
        <v>0</v>
      </c>
      <c r="AF164" s="2">
        <f t="shared" si="143"/>
        <v>416.4</v>
      </c>
      <c r="AG164" s="2">
        <f t="shared" si="144"/>
        <v>0</v>
      </c>
      <c r="AH164" s="2">
        <f t="shared" si="145"/>
        <v>40</v>
      </c>
      <c r="AI164" s="2">
        <f t="shared" si="146"/>
        <v>0</v>
      </c>
      <c r="AJ164" s="2">
        <f t="shared" si="147"/>
        <v>0</v>
      </c>
      <c r="AK164" s="2">
        <v>416.4</v>
      </c>
      <c r="AL164" s="2">
        <v>0</v>
      </c>
      <c r="AM164" s="2">
        <v>0</v>
      </c>
      <c r="AN164" s="2">
        <v>0</v>
      </c>
      <c r="AO164" s="2">
        <v>416.4</v>
      </c>
      <c r="AP164" s="2">
        <v>0</v>
      </c>
      <c r="AQ164" s="2">
        <v>40</v>
      </c>
      <c r="AR164" s="2">
        <v>0</v>
      </c>
      <c r="AS164" s="2">
        <v>0</v>
      </c>
      <c r="AT164" s="2">
        <v>187</v>
      </c>
      <c r="AU164" s="2">
        <v>101</v>
      </c>
      <c r="AV164" s="2">
        <v>1</v>
      </c>
      <c r="AW164" s="2">
        <v>1</v>
      </c>
      <c r="AX164" s="2"/>
      <c r="AY164" s="2"/>
      <c r="AZ164" s="2">
        <v>1</v>
      </c>
      <c r="BA164" s="2">
        <v>1</v>
      </c>
      <c r="BB164" s="2">
        <v>1</v>
      </c>
      <c r="BC164" s="2">
        <v>1</v>
      </c>
      <c r="BD164" s="2" t="s">
        <v>3</v>
      </c>
      <c r="BE164" s="2" t="s">
        <v>3</v>
      </c>
      <c r="BF164" s="2" t="s">
        <v>3</v>
      </c>
      <c r="BG164" s="2" t="s">
        <v>3</v>
      </c>
      <c r="BH164" s="2">
        <v>0</v>
      </c>
      <c r="BI164" s="2">
        <v>1</v>
      </c>
      <c r="BJ164" s="2" t="s">
        <v>240</v>
      </c>
      <c r="BK164" s="2"/>
      <c r="BL164" s="2"/>
      <c r="BM164" s="2">
        <v>295</v>
      </c>
      <c r="BN164" s="2">
        <v>0</v>
      </c>
      <c r="BO164" s="2" t="s">
        <v>3</v>
      </c>
      <c r="BP164" s="2">
        <v>0</v>
      </c>
      <c r="BQ164" s="2">
        <v>30</v>
      </c>
      <c r="BR164" s="2">
        <v>0</v>
      </c>
      <c r="BS164" s="2">
        <v>1</v>
      </c>
      <c r="BT164" s="2">
        <v>1</v>
      </c>
      <c r="BU164" s="2">
        <v>1</v>
      </c>
      <c r="BV164" s="2">
        <v>1</v>
      </c>
      <c r="BW164" s="2">
        <v>1</v>
      </c>
      <c r="BX164" s="2">
        <v>1</v>
      </c>
      <c r="BY164" s="2" t="s">
        <v>3</v>
      </c>
      <c r="BZ164" s="2">
        <v>187</v>
      </c>
      <c r="CA164" s="2">
        <v>101</v>
      </c>
      <c r="CB164" s="2"/>
      <c r="CC164" s="2"/>
      <c r="CD164" s="2"/>
      <c r="CE164" s="2">
        <v>30</v>
      </c>
      <c r="CF164" s="2">
        <v>0</v>
      </c>
      <c r="CG164" s="2">
        <v>0</v>
      </c>
      <c r="CH164" s="2"/>
      <c r="CI164" s="2"/>
      <c r="CJ164" s="2"/>
      <c r="CK164" s="2"/>
      <c r="CL164" s="2"/>
      <c r="CM164" s="2">
        <v>0</v>
      </c>
      <c r="CN164" s="2" t="s">
        <v>3</v>
      </c>
      <c r="CO164" s="2">
        <v>0</v>
      </c>
      <c r="CP164" s="2">
        <f t="shared" si="148"/>
        <v>199.87</v>
      </c>
      <c r="CQ164" s="2">
        <f t="shared" si="149"/>
        <v>0</v>
      </c>
      <c r="CR164" s="2">
        <f t="shared" si="150"/>
        <v>0</v>
      </c>
      <c r="CS164" s="2">
        <f t="shared" si="151"/>
        <v>0</v>
      </c>
      <c r="CT164" s="2">
        <f t="shared" si="152"/>
        <v>416.4</v>
      </c>
      <c r="CU164" s="2">
        <f t="shared" si="153"/>
        <v>0</v>
      </c>
      <c r="CV164" s="2">
        <f t="shared" si="154"/>
        <v>40</v>
      </c>
      <c r="CW164" s="2">
        <f t="shared" si="155"/>
        <v>0</v>
      </c>
      <c r="CX164" s="2">
        <f t="shared" si="156"/>
        <v>0</v>
      </c>
      <c r="CY164" s="2">
        <f>((S164*BZ164)/100)</f>
        <v>373.75690000000003</v>
      </c>
      <c r="CZ164" s="2">
        <f>((S164*CA164)/100)</f>
        <v>201.86869999999999</v>
      </c>
      <c r="DA164" s="2"/>
      <c r="DB164" s="2"/>
      <c r="DC164" s="2" t="s">
        <v>3</v>
      </c>
      <c r="DD164" s="2" t="s">
        <v>3</v>
      </c>
      <c r="DE164" s="2" t="s">
        <v>3</v>
      </c>
      <c r="DF164" s="2" t="s">
        <v>3</v>
      </c>
      <c r="DG164" s="2" t="s">
        <v>3</v>
      </c>
      <c r="DH164" s="2" t="s">
        <v>3</v>
      </c>
      <c r="DI164" s="2" t="s">
        <v>3</v>
      </c>
      <c r="DJ164" s="2" t="s">
        <v>3</v>
      </c>
      <c r="DK164" s="2" t="s">
        <v>3</v>
      </c>
      <c r="DL164" s="2" t="s">
        <v>3</v>
      </c>
      <c r="DM164" s="2" t="s">
        <v>3</v>
      </c>
      <c r="DN164" s="2">
        <v>0</v>
      </c>
      <c r="DO164" s="2">
        <v>0</v>
      </c>
      <c r="DP164" s="2">
        <v>1</v>
      </c>
      <c r="DQ164" s="2">
        <v>1</v>
      </c>
      <c r="DR164" s="2"/>
      <c r="DS164" s="2"/>
      <c r="DT164" s="2"/>
      <c r="DU164" s="2">
        <v>1005</v>
      </c>
      <c r="DV164" s="2" t="s">
        <v>167</v>
      </c>
      <c r="DW164" s="2" t="s">
        <v>167</v>
      </c>
      <c r="DX164" s="2">
        <v>100</v>
      </c>
      <c r="DY164" s="2"/>
      <c r="DZ164" s="2"/>
      <c r="EA164" s="2"/>
      <c r="EB164" s="2"/>
      <c r="EC164" s="2"/>
      <c r="ED164" s="2"/>
      <c r="EE164" s="2">
        <v>45706755</v>
      </c>
      <c r="EF164" s="2">
        <v>30</v>
      </c>
      <c r="EG164" s="2" t="s">
        <v>58</v>
      </c>
      <c r="EH164" s="2">
        <v>0</v>
      </c>
      <c r="EI164" s="2" t="s">
        <v>3</v>
      </c>
      <c r="EJ164" s="2">
        <v>1</v>
      </c>
      <c r="EK164" s="2">
        <v>295</v>
      </c>
      <c r="EL164" s="2" t="s">
        <v>231</v>
      </c>
      <c r="EM164" s="2" t="s">
        <v>232</v>
      </c>
      <c r="EN164" s="2"/>
      <c r="EO164" s="2" t="s">
        <v>3</v>
      </c>
      <c r="EP164" s="2"/>
      <c r="EQ164" s="2">
        <v>0</v>
      </c>
      <c r="ER164" s="2">
        <v>416.4</v>
      </c>
      <c r="ES164" s="2">
        <v>0</v>
      </c>
      <c r="ET164" s="2">
        <v>0</v>
      </c>
      <c r="EU164" s="2">
        <v>0</v>
      </c>
      <c r="EV164" s="2">
        <v>416.4</v>
      </c>
      <c r="EW164" s="2">
        <v>40</v>
      </c>
      <c r="EX164" s="2">
        <v>0</v>
      </c>
      <c r="EY164" s="2">
        <v>0</v>
      </c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>
        <v>0</v>
      </c>
      <c r="FR164" s="2">
        <f t="shared" si="157"/>
        <v>0</v>
      </c>
      <c r="FS164" s="2">
        <v>0</v>
      </c>
      <c r="FT164" s="2"/>
      <c r="FU164" s="2"/>
      <c r="FV164" s="2"/>
      <c r="FW164" s="2"/>
      <c r="FX164" s="2">
        <v>187</v>
      </c>
      <c r="FY164" s="2">
        <v>101</v>
      </c>
      <c r="FZ164" s="2"/>
      <c r="GA164" s="2" t="s">
        <v>3</v>
      </c>
      <c r="GB164" s="2"/>
      <c r="GC164" s="2"/>
      <c r="GD164" s="2">
        <v>0</v>
      </c>
      <c r="GE164" s="2"/>
      <c r="GF164" s="2">
        <v>-40892003</v>
      </c>
      <c r="GG164" s="2">
        <v>2</v>
      </c>
      <c r="GH164" s="2">
        <v>1</v>
      </c>
      <c r="GI164" s="2">
        <v>-2</v>
      </c>
      <c r="GJ164" s="2">
        <v>0</v>
      </c>
      <c r="GK164" s="2">
        <f>ROUND(R164*(R12)/100,2)</f>
        <v>0</v>
      </c>
      <c r="GL164" s="2">
        <f t="shared" si="158"/>
        <v>0</v>
      </c>
      <c r="GM164" s="2">
        <f t="shared" si="166"/>
        <v>775.5</v>
      </c>
      <c r="GN164" s="2">
        <f t="shared" si="167"/>
        <v>775.5</v>
      </c>
      <c r="GO164" s="2">
        <f t="shared" si="168"/>
        <v>0</v>
      </c>
      <c r="GP164" s="2">
        <f t="shared" si="169"/>
        <v>0</v>
      </c>
      <c r="GQ164" s="2"/>
      <c r="GR164" s="2">
        <v>0</v>
      </c>
      <c r="GS164" s="2">
        <v>0</v>
      </c>
      <c r="GT164" s="2">
        <v>0</v>
      </c>
      <c r="GU164" s="2" t="s">
        <v>3</v>
      </c>
      <c r="GV164" s="2">
        <f t="shared" si="163"/>
        <v>0</v>
      </c>
      <c r="GW164" s="2">
        <v>1</v>
      </c>
      <c r="GX164" s="2">
        <f t="shared" si="164"/>
        <v>0</v>
      </c>
      <c r="GY164" s="2"/>
      <c r="GZ164" s="2"/>
      <c r="HA164" s="2">
        <v>0</v>
      </c>
      <c r="HB164" s="2">
        <v>0</v>
      </c>
      <c r="HC164" s="2">
        <f t="shared" si="165"/>
        <v>0</v>
      </c>
      <c r="HD164" s="2"/>
      <c r="HE164" s="2" t="s">
        <v>3</v>
      </c>
      <c r="HF164" s="2" t="s">
        <v>3</v>
      </c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>
        <v>0</v>
      </c>
      <c r="IL164" s="2"/>
      <c r="IM164" s="2"/>
      <c r="IN164" s="2"/>
      <c r="IO164" s="2"/>
      <c r="IP164" s="2"/>
      <c r="IQ164" s="2"/>
      <c r="IR164" s="2"/>
      <c r="IS164" s="2"/>
      <c r="IT164" s="2"/>
      <c r="IU164" s="2"/>
    </row>
    <row r="165" spans="1:255" x14ac:dyDescent="0.2">
      <c r="A165">
        <v>17</v>
      </c>
      <c r="B165">
        <v>1</v>
      </c>
      <c r="C165">
        <f>ROW(SmtRes!A126)</f>
        <v>126</v>
      </c>
      <c r="D165">
        <f>ROW(EtalonRes!A126)</f>
        <v>126</v>
      </c>
      <c r="E165" t="s">
        <v>237</v>
      </c>
      <c r="F165" t="s">
        <v>238</v>
      </c>
      <c r="G165" t="s">
        <v>239</v>
      </c>
      <c r="H165" t="s">
        <v>167</v>
      </c>
      <c r="I165">
        <f>ROUND((192*0.25)/100,9)</f>
        <v>0.48</v>
      </c>
      <c r="J165">
        <v>0</v>
      </c>
      <c r="O165">
        <f t="shared" si="128"/>
        <v>5022.7299999999996</v>
      </c>
      <c r="P165">
        <f t="shared" si="129"/>
        <v>0</v>
      </c>
      <c r="Q165">
        <f t="shared" si="130"/>
        <v>0</v>
      </c>
      <c r="R165">
        <f t="shared" si="131"/>
        <v>0</v>
      </c>
      <c r="S165">
        <f t="shared" si="132"/>
        <v>5022.7299999999996</v>
      </c>
      <c r="T165">
        <f t="shared" si="133"/>
        <v>0</v>
      </c>
      <c r="U165">
        <f t="shared" si="134"/>
        <v>19.2</v>
      </c>
      <c r="V165">
        <f t="shared" si="135"/>
        <v>0</v>
      </c>
      <c r="W165">
        <f t="shared" si="136"/>
        <v>0</v>
      </c>
      <c r="X165">
        <f t="shared" si="137"/>
        <v>5123.18</v>
      </c>
      <c r="Y165">
        <f t="shared" si="138"/>
        <v>2360.6799999999998</v>
      </c>
      <c r="AA165">
        <v>45747932</v>
      </c>
      <c r="AB165">
        <f t="shared" si="139"/>
        <v>416.4</v>
      </c>
      <c r="AC165">
        <f t="shared" si="140"/>
        <v>0</v>
      </c>
      <c r="AD165">
        <f t="shared" si="141"/>
        <v>0</v>
      </c>
      <c r="AE165">
        <f t="shared" si="142"/>
        <v>0</v>
      </c>
      <c r="AF165">
        <f t="shared" si="143"/>
        <v>416.4</v>
      </c>
      <c r="AG165">
        <f t="shared" si="144"/>
        <v>0</v>
      </c>
      <c r="AH165">
        <f t="shared" si="145"/>
        <v>40</v>
      </c>
      <c r="AI165">
        <f t="shared" si="146"/>
        <v>0</v>
      </c>
      <c r="AJ165">
        <f t="shared" si="147"/>
        <v>0</v>
      </c>
      <c r="AK165">
        <v>416.4</v>
      </c>
      <c r="AL165">
        <v>0</v>
      </c>
      <c r="AM165">
        <v>0</v>
      </c>
      <c r="AN165">
        <v>0</v>
      </c>
      <c r="AO165">
        <v>416.4</v>
      </c>
      <c r="AP165">
        <v>0</v>
      </c>
      <c r="AQ165">
        <v>40</v>
      </c>
      <c r="AR165">
        <v>0</v>
      </c>
      <c r="AS165">
        <v>0</v>
      </c>
      <c r="AT165">
        <v>102</v>
      </c>
      <c r="AU165">
        <v>47</v>
      </c>
      <c r="AV165">
        <v>1</v>
      </c>
      <c r="AW165">
        <v>1</v>
      </c>
      <c r="AZ165">
        <v>1</v>
      </c>
      <c r="BA165">
        <v>25.13</v>
      </c>
      <c r="BB165">
        <v>1</v>
      </c>
      <c r="BC165">
        <v>1</v>
      </c>
      <c r="BD165" t="s">
        <v>3</v>
      </c>
      <c r="BE165" t="s">
        <v>3</v>
      </c>
      <c r="BF165" t="s">
        <v>3</v>
      </c>
      <c r="BG165" t="s">
        <v>3</v>
      </c>
      <c r="BH165">
        <v>0</v>
      </c>
      <c r="BI165">
        <v>1</v>
      </c>
      <c r="BJ165" t="s">
        <v>240</v>
      </c>
      <c r="BM165">
        <v>295</v>
      </c>
      <c r="BN165">
        <v>0</v>
      </c>
      <c r="BO165" t="s">
        <v>238</v>
      </c>
      <c r="BP165">
        <v>1</v>
      </c>
      <c r="BQ165">
        <v>30</v>
      </c>
      <c r="BR165">
        <v>0</v>
      </c>
      <c r="BS165">
        <v>25.13</v>
      </c>
      <c r="BT165">
        <v>1</v>
      </c>
      <c r="BU165">
        <v>1</v>
      </c>
      <c r="BV165">
        <v>1</v>
      </c>
      <c r="BW165">
        <v>1</v>
      </c>
      <c r="BX165">
        <v>1</v>
      </c>
      <c r="BY165" t="s">
        <v>3</v>
      </c>
      <c r="BZ165">
        <v>102</v>
      </c>
      <c r="CA165">
        <v>47</v>
      </c>
      <c r="CE165">
        <v>30</v>
      </c>
      <c r="CF165">
        <v>0</v>
      </c>
      <c r="CG165">
        <v>0</v>
      </c>
      <c r="CM165">
        <v>0</v>
      </c>
      <c r="CN165" t="s">
        <v>3</v>
      </c>
      <c r="CO165">
        <v>0</v>
      </c>
      <c r="CP165">
        <f t="shared" si="148"/>
        <v>5022.7299999999996</v>
      </c>
      <c r="CQ165">
        <f t="shared" si="149"/>
        <v>0</v>
      </c>
      <c r="CR165">
        <f t="shared" si="150"/>
        <v>0</v>
      </c>
      <c r="CS165">
        <f t="shared" si="151"/>
        <v>0</v>
      </c>
      <c r="CT165">
        <f t="shared" si="152"/>
        <v>10464.129999999999</v>
      </c>
      <c r="CU165">
        <f t="shared" si="153"/>
        <v>0</v>
      </c>
      <c r="CV165">
        <f t="shared" si="154"/>
        <v>40</v>
      </c>
      <c r="CW165">
        <f t="shared" si="155"/>
        <v>0</v>
      </c>
      <c r="CX165">
        <f t="shared" si="156"/>
        <v>0</v>
      </c>
      <c r="CY165">
        <f>S165*(BZ165/100)</f>
        <v>5123.1845999999996</v>
      </c>
      <c r="CZ165">
        <f>S165*(CA165/100)</f>
        <v>2360.6830999999997</v>
      </c>
      <c r="DC165" t="s">
        <v>3</v>
      </c>
      <c r="DD165" t="s">
        <v>3</v>
      </c>
      <c r="DE165" t="s">
        <v>3</v>
      </c>
      <c r="DF165" t="s">
        <v>3</v>
      </c>
      <c r="DG165" t="s">
        <v>3</v>
      </c>
      <c r="DH165" t="s">
        <v>3</v>
      </c>
      <c r="DI165" t="s">
        <v>3</v>
      </c>
      <c r="DJ165" t="s">
        <v>3</v>
      </c>
      <c r="DK165" t="s">
        <v>3</v>
      </c>
      <c r="DL165" t="s">
        <v>3</v>
      </c>
      <c r="DM165" t="s">
        <v>3</v>
      </c>
      <c r="DN165">
        <v>187</v>
      </c>
      <c r="DO165">
        <v>101</v>
      </c>
      <c r="DP165">
        <v>1</v>
      </c>
      <c r="DQ165">
        <v>1</v>
      </c>
      <c r="DU165">
        <v>1005</v>
      </c>
      <c r="DV165" t="s">
        <v>167</v>
      </c>
      <c r="DW165" t="s">
        <v>167</v>
      </c>
      <c r="DX165">
        <v>100</v>
      </c>
      <c r="EE165">
        <v>45706755</v>
      </c>
      <c r="EF165">
        <v>30</v>
      </c>
      <c r="EG165" t="s">
        <v>58</v>
      </c>
      <c r="EH165">
        <v>0</v>
      </c>
      <c r="EI165" t="s">
        <v>3</v>
      </c>
      <c r="EJ165">
        <v>1</v>
      </c>
      <c r="EK165">
        <v>295</v>
      </c>
      <c r="EL165" t="s">
        <v>231</v>
      </c>
      <c r="EM165" t="s">
        <v>232</v>
      </c>
      <c r="EO165" t="s">
        <v>3</v>
      </c>
      <c r="EQ165">
        <v>0</v>
      </c>
      <c r="ER165">
        <v>416.4</v>
      </c>
      <c r="ES165">
        <v>0</v>
      </c>
      <c r="ET165">
        <v>0</v>
      </c>
      <c r="EU165">
        <v>0</v>
      </c>
      <c r="EV165">
        <v>416.4</v>
      </c>
      <c r="EW165">
        <v>40</v>
      </c>
      <c r="EX165">
        <v>0</v>
      </c>
      <c r="EY165">
        <v>0</v>
      </c>
      <c r="FQ165">
        <v>0</v>
      </c>
      <c r="FR165">
        <f t="shared" si="157"/>
        <v>0</v>
      </c>
      <c r="FS165">
        <v>0</v>
      </c>
      <c r="FX165">
        <v>187</v>
      </c>
      <c r="FY165">
        <v>101</v>
      </c>
      <c r="GA165" t="s">
        <v>3</v>
      </c>
      <c r="GD165">
        <v>0</v>
      </c>
      <c r="GF165">
        <v>-40892003</v>
      </c>
      <c r="GG165">
        <v>2</v>
      </c>
      <c r="GH165">
        <v>1</v>
      </c>
      <c r="GI165">
        <v>2</v>
      </c>
      <c r="GJ165">
        <v>0</v>
      </c>
      <c r="GK165">
        <f>ROUND(R165*(S12)/100,2)</f>
        <v>0</v>
      </c>
      <c r="GL165">
        <f t="shared" si="158"/>
        <v>0</v>
      </c>
      <c r="GM165">
        <f t="shared" si="166"/>
        <v>12506.59</v>
      </c>
      <c r="GN165">
        <f t="shared" si="167"/>
        <v>12506.59</v>
      </c>
      <c r="GO165">
        <f t="shared" si="168"/>
        <v>0</v>
      </c>
      <c r="GP165">
        <f t="shared" si="169"/>
        <v>0</v>
      </c>
      <c r="GR165">
        <v>0</v>
      </c>
      <c r="GS165">
        <v>0</v>
      </c>
      <c r="GT165">
        <v>0</v>
      </c>
      <c r="GU165" t="s">
        <v>3</v>
      </c>
      <c r="GV165">
        <f t="shared" si="163"/>
        <v>0</v>
      </c>
      <c r="GW165">
        <v>1</v>
      </c>
      <c r="GX165">
        <f t="shared" si="164"/>
        <v>0</v>
      </c>
      <c r="HA165">
        <v>0</v>
      </c>
      <c r="HB165">
        <v>0</v>
      </c>
      <c r="HC165">
        <f t="shared" si="165"/>
        <v>0</v>
      </c>
      <c r="HE165" t="s">
        <v>3</v>
      </c>
      <c r="HF165" t="s">
        <v>3</v>
      </c>
      <c r="IK165">
        <v>0</v>
      </c>
    </row>
    <row r="166" spans="1:255" x14ac:dyDescent="0.2">
      <c r="A166" s="2">
        <v>18</v>
      </c>
      <c r="B166" s="2">
        <v>1</v>
      </c>
      <c r="C166" s="2">
        <v>124</v>
      </c>
      <c r="D166" s="2"/>
      <c r="E166" s="2" t="s">
        <v>241</v>
      </c>
      <c r="F166" s="2" t="s">
        <v>234</v>
      </c>
      <c r="G166" s="2" t="s">
        <v>235</v>
      </c>
      <c r="H166" s="2" t="s">
        <v>150</v>
      </c>
      <c r="I166" s="2">
        <f>I164*J166</f>
        <v>7.2</v>
      </c>
      <c r="J166" s="2">
        <v>15.000000000000002</v>
      </c>
      <c r="K166" s="2"/>
      <c r="L166" s="2"/>
      <c r="M166" s="2"/>
      <c r="N166" s="2"/>
      <c r="O166" s="2">
        <f t="shared" si="128"/>
        <v>1057.25</v>
      </c>
      <c r="P166" s="2">
        <f t="shared" si="129"/>
        <v>1057.25</v>
      </c>
      <c r="Q166" s="2">
        <f t="shared" si="130"/>
        <v>0</v>
      </c>
      <c r="R166" s="2">
        <f t="shared" si="131"/>
        <v>0</v>
      </c>
      <c r="S166" s="2">
        <f t="shared" si="132"/>
        <v>0</v>
      </c>
      <c r="T166" s="2">
        <f t="shared" si="133"/>
        <v>0</v>
      </c>
      <c r="U166" s="2">
        <f t="shared" si="134"/>
        <v>0</v>
      </c>
      <c r="V166" s="2">
        <f t="shared" si="135"/>
        <v>0</v>
      </c>
      <c r="W166" s="2">
        <f t="shared" si="136"/>
        <v>0</v>
      </c>
      <c r="X166" s="2">
        <f t="shared" si="137"/>
        <v>0</v>
      </c>
      <c r="Y166" s="2">
        <f t="shared" si="138"/>
        <v>0</v>
      </c>
      <c r="Z166" s="2"/>
      <c r="AA166" s="2">
        <v>45748053</v>
      </c>
      <c r="AB166" s="2">
        <f t="shared" si="139"/>
        <v>146.84</v>
      </c>
      <c r="AC166" s="2">
        <f t="shared" si="140"/>
        <v>146.84</v>
      </c>
      <c r="AD166" s="2">
        <f t="shared" si="141"/>
        <v>0</v>
      </c>
      <c r="AE166" s="2">
        <f t="shared" si="142"/>
        <v>0</v>
      </c>
      <c r="AF166" s="2">
        <f t="shared" si="143"/>
        <v>0</v>
      </c>
      <c r="AG166" s="2">
        <f t="shared" si="144"/>
        <v>0</v>
      </c>
      <c r="AH166" s="2">
        <f t="shared" si="145"/>
        <v>0</v>
      </c>
      <c r="AI166" s="2">
        <f t="shared" si="146"/>
        <v>0</v>
      </c>
      <c r="AJ166" s="2">
        <f t="shared" si="147"/>
        <v>0</v>
      </c>
      <c r="AK166" s="2">
        <v>146.84</v>
      </c>
      <c r="AL166" s="2">
        <v>146.84</v>
      </c>
      <c r="AM166" s="2">
        <v>0</v>
      </c>
      <c r="AN166" s="2">
        <v>0</v>
      </c>
      <c r="AO166" s="2">
        <v>0</v>
      </c>
      <c r="AP166" s="2">
        <v>0</v>
      </c>
      <c r="AQ166" s="2">
        <v>0</v>
      </c>
      <c r="AR166" s="2">
        <v>0</v>
      </c>
      <c r="AS166" s="2">
        <v>0</v>
      </c>
      <c r="AT166" s="2">
        <v>187</v>
      </c>
      <c r="AU166" s="2">
        <v>101</v>
      </c>
      <c r="AV166" s="2">
        <v>1</v>
      </c>
      <c r="AW166" s="2">
        <v>1</v>
      </c>
      <c r="AX166" s="2"/>
      <c r="AY166" s="2"/>
      <c r="AZ166" s="2">
        <v>1</v>
      </c>
      <c r="BA166" s="2">
        <v>1</v>
      </c>
      <c r="BB166" s="2">
        <v>1</v>
      </c>
      <c r="BC166" s="2">
        <v>1</v>
      </c>
      <c r="BD166" s="2" t="s">
        <v>3</v>
      </c>
      <c r="BE166" s="2" t="s">
        <v>3</v>
      </c>
      <c r="BF166" s="2" t="s">
        <v>3</v>
      </c>
      <c r="BG166" s="2" t="s">
        <v>3</v>
      </c>
      <c r="BH166" s="2">
        <v>3</v>
      </c>
      <c r="BI166" s="2">
        <v>1</v>
      </c>
      <c r="BJ166" s="2" t="s">
        <v>236</v>
      </c>
      <c r="BK166" s="2"/>
      <c r="BL166" s="2"/>
      <c r="BM166" s="2">
        <v>295</v>
      </c>
      <c r="BN166" s="2">
        <v>0</v>
      </c>
      <c r="BO166" s="2" t="s">
        <v>3</v>
      </c>
      <c r="BP166" s="2">
        <v>0</v>
      </c>
      <c r="BQ166" s="2">
        <v>30</v>
      </c>
      <c r="BR166" s="2">
        <v>0</v>
      </c>
      <c r="BS166" s="2">
        <v>1</v>
      </c>
      <c r="BT166" s="2">
        <v>1</v>
      </c>
      <c r="BU166" s="2">
        <v>1</v>
      </c>
      <c r="BV166" s="2">
        <v>1</v>
      </c>
      <c r="BW166" s="2">
        <v>1</v>
      </c>
      <c r="BX166" s="2">
        <v>1</v>
      </c>
      <c r="BY166" s="2" t="s">
        <v>3</v>
      </c>
      <c r="BZ166" s="2">
        <v>187</v>
      </c>
      <c r="CA166" s="2">
        <v>101</v>
      </c>
      <c r="CB166" s="2"/>
      <c r="CC166" s="2"/>
      <c r="CD166" s="2"/>
      <c r="CE166" s="2">
        <v>30</v>
      </c>
      <c r="CF166" s="2">
        <v>0</v>
      </c>
      <c r="CG166" s="2">
        <v>0</v>
      </c>
      <c r="CH166" s="2"/>
      <c r="CI166" s="2"/>
      <c r="CJ166" s="2"/>
      <c r="CK166" s="2"/>
      <c r="CL166" s="2"/>
      <c r="CM166" s="2">
        <v>0</v>
      </c>
      <c r="CN166" s="2" t="s">
        <v>3</v>
      </c>
      <c r="CO166" s="2">
        <v>0</v>
      </c>
      <c r="CP166" s="2">
        <f t="shared" si="148"/>
        <v>1057.25</v>
      </c>
      <c r="CQ166" s="2">
        <f t="shared" si="149"/>
        <v>146.84</v>
      </c>
      <c r="CR166" s="2">
        <f t="shared" si="150"/>
        <v>0</v>
      </c>
      <c r="CS166" s="2">
        <f t="shared" si="151"/>
        <v>0</v>
      </c>
      <c r="CT166" s="2">
        <f t="shared" si="152"/>
        <v>0</v>
      </c>
      <c r="CU166" s="2">
        <f t="shared" si="153"/>
        <v>0</v>
      </c>
      <c r="CV166" s="2">
        <f t="shared" si="154"/>
        <v>0</v>
      </c>
      <c r="CW166" s="2">
        <f t="shared" si="155"/>
        <v>0</v>
      </c>
      <c r="CX166" s="2">
        <f t="shared" si="156"/>
        <v>0</v>
      </c>
      <c r="CY166" s="2">
        <f>((S166*BZ166)/100)</f>
        <v>0</v>
      </c>
      <c r="CZ166" s="2">
        <f>((S166*CA166)/100)</f>
        <v>0</v>
      </c>
      <c r="DA166" s="2"/>
      <c r="DB166" s="2"/>
      <c r="DC166" s="2" t="s">
        <v>3</v>
      </c>
      <c r="DD166" s="2" t="s">
        <v>3</v>
      </c>
      <c r="DE166" s="2" t="s">
        <v>3</v>
      </c>
      <c r="DF166" s="2" t="s">
        <v>3</v>
      </c>
      <c r="DG166" s="2" t="s">
        <v>3</v>
      </c>
      <c r="DH166" s="2" t="s">
        <v>3</v>
      </c>
      <c r="DI166" s="2" t="s">
        <v>3</v>
      </c>
      <c r="DJ166" s="2" t="s">
        <v>3</v>
      </c>
      <c r="DK166" s="2" t="s">
        <v>3</v>
      </c>
      <c r="DL166" s="2" t="s">
        <v>3</v>
      </c>
      <c r="DM166" s="2" t="s">
        <v>3</v>
      </c>
      <c r="DN166" s="2">
        <v>0</v>
      </c>
      <c r="DO166" s="2">
        <v>0</v>
      </c>
      <c r="DP166" s="2">
        <v>1</v>
      </c>
      <c r="DQ166" s="2">
        <v>1</v>
      </c>
      <c r="DR166" s="2"/>
      <c r="DS166" s="2"/>
      <c r="DT166" s="2"/>
      <c r="DU166" s="2">
        <v>1007</v>
      </c>
      <c r="DV166" s="2" t="s">
        <v>150</v>
      </c>
      <c r="DW166" s="2" t="s">
        <v>150</v>
      </c>
      <c r="DX166" s="2">
        <v>1</v>
      </c>
      <c r="DY166" s="2"/>
      <c r="DZ166" s="2"/>
      <c r="EA166" s="2"/>
      <c r="EB166" s="2"/>
      <c r="EC166" s="2"/>
      <c r="ED166" s="2"/>
      <c r="EE166" s="2">
        <v>45706755</v>
      </c>
      <c r="EF166" s="2">
        <v>30</v>
      </c>
      <c r="EG166" s="2" t="s">
        <v>58</v>
      </c>
      <c r="EH166" s="2">
        <v>0</v>
      </c>
      <c r="EI166" s="2" t="s">
        <v>3</v>
      </c>
      <c r="EJ166" s="2">
        <v>1</v>
      </c>
      <c r="EK166" s="2">
        <v>295</v>
      </c>
      <c r="EL166" s="2" t="s">
        <v>231</v>
      </c>
      <c r="EM166" s="2" t="s">
        <v>232</v>
      </c>
      <c r="EN166" s="2"/>
      <c r="EO166" s="2" t="s">
        <v>3</v>
      </c>
      <c r="EP166" s="2"/>
      <c r="EQ166" s="2">
        <v>0</v>
      </c>
      <c r="ER166" s="2">
        <v>146.84</v>
      </c>
      <c r="ES166" s="2">
        <v>146.84</v>
      </c>
      <c r="ET166" s="2">
        <v>0</v>
      </c>
      <c r="EU166" s="2">
        <v>0</v>
      </c>
      <c r="EV166" s="2">
        <v>0</v>
      </c>
      <c r="EW166" s="2">
        <v>0</v>
      </c>
      <c r="EX166" s="2">
        <v>0</v>
      </c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>
        <v>0</v>
      </c>
      <c r="FR166" s="2">
        <f t="shared" si="157"/>
        <v>0</v>
      </c>
      <c r="FS166" s="2">
        <v>0</v>
      </c>
      <c r="FT166" s="2"/>
      <c r="FU166" s="2"/>
      <c r="FV166" s="2"/>
      <c r="FW166" s="2"/>
      <c r="FX166" s="2">
        <v>187</v>
      </c>
      <c r="FY166" s="2">
        <v>101</v>
      </c>
      <c r="FZ166" s="2"/>
      <c r="GA166" s="2" t="s">
        <v>3</v>
      </c>
      <c r="GB166" s="2"/>
      <c r="GC166" s="2"/>
      <c r="GD166" s="2">
        <v>0</v>
      </c>
      <c r="GE166" s="2"/>
      <c r="GF166" s="2">
        <v>92320855</v>
      </c>
      <c r="GG166" s="2">
        <v>2</v>
      </c>
      <c r="GH166" s="2">
        <v>1</v>
      </c>
      <c r="GI166" s="2">
        <v>-2</v>
      </c>
      <c r="GJ166" s="2">
        <v>0</v>
      </c>
      <c r="GK166" s="2">
        <f>ROUND(R166*(R12)/100,2)</f>
        <v>0</v>
      </c>
      <c r="GL166" s="2">
        <f t="shared" si="158"/>
        <v>0</v>
      </c>
      <c r="GM166" s="2">
        <f t="shared" si="166"/>
        <v>1057.25</v>
      </c>
      <c r="GN166" s="2">
        <f t="shared" si="167"/>
        <v>1057.25</v>
      </c>
      <c r="GO166" s="2">
        <f t="shared" si="168"/>
        <v>0</v>
      </c>
      <c r="GP166" s="2">
        <f t="shared" si="169"/>
        <v>0</v>
      </c>
      <c r="GQ166" s="2"/>
      <c r="GR166" s="2">
        <v>0</v>
      </c>
      <c r="GS166" s="2">
        <v>0</v>
      </c>
      <c r="GT166" s="2">
        <v>0</v>
      </c>
      <c r="GU166" s="2" t="s">
        <v>3</v>
      </c>
      <c r="GV166" s="2">
        <f t="shared" si="163"/>
        <v>0</v>
      </c>
      <c r="GW166" s="2">
        <v>1</v>
      </c>
      <c r="GX166" s="2">
        <f t="shared" si="164"/>
        <v>0</v>
      </c>
      <c r="GY166" s="2"/>
      <c r="GZ166" s="2"/>
      <c r="HA166" s="2">
        <v>0</v>
      </c>
      <c r="HB166" s="2">
        <v>0</v>
      </c>
      <c r="HC166" s="2">
        <f t="shared" si="165"/>
        <v>0</v>
      </c>
      <c r="HD166" s="2"/>
      <c r="HE166" s="2" t="s">
        <v>3</v>
      </c>
      <c r="HF166" s="2" t="s">
        <v>3</v>
      </c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>
        <v>0</v>
      </c>
      <c r="IL166" s="2"/>
      <c r="IM166" s="2"/>
      <c r="IN166" s="2"/>
      <c r="IO166" s="2"/>
      <c r="IP166" s="2"/>
      <c r="IQ166" s="2"/>
      <c r="IR166" s="2"/>
      <c r="IS166" s="2"/>
      <c r="IT166" s="2"/>
      <c r="IU166" s="2"/>
    </row>
    <row r="167" spans="1:255" x14ac:dyDescent="0.2">
      <c r="A167">
        <v>18</v>
      </c>
      <c r="B167">
        <v>1</v>
      </c>
      <c r="C167">
        <v>126</v>
      </c>
      <c r="E167" t="s">
        <v>241</v>
      </c>
      <c r="F167" t="s">
        <v>234</v>
      </c>
      <c r="G167" t="s">
        <v>235</v>
      </c>
      <c r="H167" t="s">
        <v>150</v>
      </c>
      <c r="I167">
        <f>I165*J167</f>
        <v>7.2</v>
      </c>
      <c r="J167">
        <v>15.000000000000002</v>
      </c>
      <c r="O167">
        <f t="shared" si="128"/>
        <v>6734.68</v>
      </c>
      <c r="P167">
        <f t="shared" si="129"/>
        <v>6734.68</v>
      </c>
      <c r="Q167">
        <f t="shared" si="130"/>
        <v>0</v>
      </c>
      <c r="R167">
        <f t="shared" si="131"/>
        <v>0</v>
      </c>
      <c r="S167">
        <f t="shared" si="132"/>
        <v>0</v>
      </c>
      <c r="T167">
        <f t="shared" si="133"/>
        <v>0</v>
      </c>
      <c r="U167">
        <f t="shared" si="134"/>
        <v>0</v>
      </c>
      <c r="V167">
        <f t="shared" si="135"/>
        <v>0</v>
      </c>
      <c r="W167">
        <f t="shared" si="136"/>
        <v>0</v>
      </c>
      <c r="X167">
        <f t="shared" si="137"/>
        <v>0</v>
      </c>
      <c r="Y167">
        <f t="shared" si="138"/>
        <v>0</v>
      </c>
      <c r="AA167">
        <v>45747932</v>
      </c>
      <c r="AB167">
        <f t="shared" si="139"/>
        <v>146.84</v>
      </c>
      <c r="AC167">
        <f t="shared" si="140"/>
        <v>146.84</v>
      </c>
      <c r="AD167">
        <f t="shared" si="141"/>
        <v>0</v>
      </c>
      <c r="AE167">
        <f t="shared" si="142"/>
        <v>0</v>
      </c>
      <c r="AF167">
        <f t="shared" si="143"/>
        <v>0</v>
      </c>
      <c r="AG167">
        <f t="shared" si="144"/>
        <v>0</v>
      </c>
      <c r="AH167">
        <f t="shared" si="145"/>
        <v>0</v>
      </c>
      <c r="AI167">
        <f t="shared" si="146"/>
        <v>0</v>
      </c>
      <c r="AJ167">
        <f t="shared" si="147"/>
        <v>0</v>
      </c>
      <c r="AK167">
        <v>146.84</v>
      </c>
      <c r="AL167">
        <v>146.84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1</v>
      </c>
      <c r="AW167">
        <v>1</v>
      </c>
      <c r="AZ167">
        <v>1</v>
      </c>
      <c r="BA167">
        <v>1</v>
      </c>
      <c r="BB167">
        <v>1</v>
      </c>
      <c r="BC167">
        <v>6.37</v>
      </c>
      <c r="BD167" t="s">
        <v>3</v>
      </c>
      <c r="BE167" t="s">
        <v>3</v>
      </c>
      <c r="BF167" t="s">
        <v>3</v>
      </c>
      <c r="BG167" t="s">
        <v>3</v>
      </c>
      <c r="BH167">
        <v>3</v>
      </c>
      <c r="BI167">
        <v>1</v>
      </c>
      <c r="BJ167" t="s">
        <v>236</v>
      </c>
      <c r="BM167">
        <v>295</v>
      </c>
      <c r="BN167">
        <v>0</v>
      </c>
      <c r="BO167" t="s">
        <v>234</v>
      </c>
      <c r="BP167">
        <v>1</v>
      </c>
      <c r="BQ167">
        <v>30</v>
      </c>
      <c r="BR167">
        <v>0</v>
      </c>
      <c r="BS167">
        <v>1</v>
      </c>
      <c r="BT167">
        <v>1</v>
      </c>
      <c r="BU167">
        <v>1</v>
      </c>
      <c r="BV167">
        <v>1</v>
      </c>
      <c r="BW167">
        <v>1</v>
      </c>
      <c r="BX167">
        <v>1</v>
      </c>
      <c r="BY167" t="s">
        <v>3</v>
      </c>
      <c r="BZ167">
        <v>0</v>
      </c>
      <c r="CA167">
        <v>0</v>
      </c>
      <c r="CE167">
        <v>30</v>
      </c>
      <c r="CF167">
        <v>0</v>
      </c>
      <c r="CG167">
        <v>0</v>
      </c>
      <c r="CM167">
        <v>0</v>
      </c>
      <c r="CN167" t="s">
        <v>3</v>
      </c>
      <c r="CO167">
        <v>0</v>
      </c>
      <c r="CP167">
        <f t="shared" si="148"/>
        <v>6734.68</v>
      </c>
      <c r="CQ167">
        <f t="shared" si="149"/>
        <v>935.37</v>
      </c>
      <c r="CR167">
        <f t="shared" si="150"/>
        <v>0</v>
      </c>
      <c r="CS167">
        <f t="shared" si="151"/>
        <v>0</v>
      </c>
      <c r="CT167">
        <f t="shared" si="152"/>
        <v>0</v>
      </c>
      <c r="CU167">
        <f t="shared" si="153"/>
        <v>0</v>
      </c>
      <c r="CV167">
        <f t="shared" si="154"/>
        <v>0</v>
      </c>
      <c r="CW167">
        <f t="shared" si="155"/>
        <v>0</v>
      </c>
      <c r="CX167">
        <f t="shared" si="156"/>
        <v>0</v>
      </c>
      <c r="CY167">
        <f>S167*(BZ167/100)</f>
        <v>0</v>
      </c>
      <c r="CZ167">
        <f>S167*(CA167/100)</f>
        <v>0</v>
      </c>
      <c r="DC167" t="s">
        <v>3</v>
      </c>
      <c r="DD167" t="s">
        <v>3</v>
      </c>
      <c r="DE167" t="s">
        <v>3</v>
      </c>
      <c r="DF167" t="s">
        <v>3</v>
      </c>
      <c r="DG167" t="s">
        <v>3</v>
      </c>
      <c r="DH167" t="s">
        <v>3</v>
      </c>
      <c r="DI167" t="s">
        <v>3</v>
      </c>
      <c r="DJ167" t="s">
        <v>3</v>
      </c>
      <c r="DK167" t="s">
        <v>3</v>
      </c>
      <c r="DL167" t="s">
        <v>3</v>
      </c>
      <c r="DM167" t="s">
        <v>3</v>
      </c>
      <c r="DN167">
        <v>187</v>
      </c>
      <c r="DO167">
        <v>101</v>
      </c>
      <c r="DP167">
        <v>1</v>
      </c>
      <c r="DQ167">
        <v>1</v>
      </c>
      <c r="DU167">
        <v>1007</v>
      </c>
      <c r="DV167" t="s">
        <v>150</v>
      </c>
      <c r="DW167" t="s">
        <v>150</v>
      </c>
      <c r="DX167">
        <v>1</v>
      </c>
      <c r="EE167">
        <v>45706755</v>
      </c>
      <c r="EF167">
        <v>30</v>
      </c>
      <c r="EG167" t="s">
        <v>58</v>
      </c>
      <c r="EH167">
        <v>0</v>
      </c>
      <c r="EI167" t="s">
        <v>3</v>
      </c>
      <c r="EJ167">
        <v>1</v>
      </c>
      <c r="EK167">
        <v>295</v>
      </c>
      <c r="EL167" t="s">
        <v>231</v>
      </c>
      <c r="EM167" t="s">
        <v>232</v>
      </c>
      <c r="EO167" t="s">
        <v>3</v>
      </c>
      <c r="EQ167">
        <v>0</v>
      </c>
      <c r="ER167">
        <v>146.84</v>
      </c>
      <c r="ES167">
        <v>146.84</v>
      </c>
      <c r="ET167">
        <v>0</v>
      </c>
      <c r="EU167">
        <v>0</v>
      </c>
      <c r="EV167">
        <v>0</v>
      </c>
      <c r="EW167">
        <v>0</v>
      </c>
      <c r="EX167">
        <v>0</v>
      </c>
      <c r="FQ167">
        <v>0</v>
      </c>
      <c r="FR167">
        <f t="shared" si="157"/>
        <v>0</v>
      </c>
      <c r="FS167">
        <v>0</v>
      </c>
      <c r="FX167">
        <v>187</v>
      </c>
      <c r="FY167">
        <v>101</v>
      </c>
      <c r="GA167" t="s">
        <v>3</v>
      </c>
      <c r="GD167">
        <v>0</v>
      </c>
      <c r="GF167">
        <v>92320855</v>
      </c>
      <c r="GG167">
        <v>2</v>
      </c>
      <c r="GH167">
        <v>1</v>
      </c>
      <c r="GI167">
        <v>2</v>
      </c>
      <c r="GJ167">
        <v>0</v>
      </c>
      <c r="GK167">
        <f>ROUND(R167*(S12)/100,2)</f>
        <v>0</v>
      </c>
      <c r="GL167">
        <f t="shared" si="158"/>
        <v>0</v>
      </c>
      <c r="GM167">
        <f t="shared" si="166"/>
        <v>6734.68</v>
      </c>
      <c r="GN167">
        <f t="shared" si="167"/>
        <v>6734.68</v>
      </c>
      <c r="GO167">
        <f t="shared" si="168"/>
        <v>0</v>
      </c>
      <c r="GP167">
        <f t="shared" si="169"/>
        <v>0</v>
      </c>
      <c r="GR167">
        <v>0</v>
      </c>
      <c r="GS167">
        <v>0</v>
      </c>
      <c r="GT167">
        <v>0</v>
      </c>
      <c r="GU167" t="s">
        <v>3</v>
      </c>
      <c r="GV167">
        <f t="shared" si="163"/>
        <v>0</v>
      </c>
      <c r="GW167">
        <v>1</v>
      </c>
      <c r="GX167">
        <f t="shared" si="164"/>
        <v>0</v>
      </c>
      <c r="HA167">
        <v>0</v>
      </c>
      <c r="HB167">
        <v>0</v>
      </c>
      <c r="HC167">
        <f t="shared" si="165"/>
        <v>0</v>
      </c>
      <c r="HE167" t="s">
        <v>3</v>
      </c>
      <c r="HF167" t="s">
        <v>3</v>
      </c>
      <c r="IK167">
        <v>0</v>
      </c>
    </row>
    <row r="168" spans="1:255" x14ac:dyDescent="0.2">
      <c r="A168" s="2">
        <v>17</v>
      </c>
      <c r="B168" s="2">
        <v>1</v>
      </c>
      <c r="C168" s="2">
        <f>ROW(SmtRes!A129)</f>
        <v>129</v>
      </c>
      <c r="D168" s="2">
        <f>ROW(EtalonRes!A129)</f>
        <v>129</v>
      </c>
      <c r="E168" s="2" t="s">
        <v>242</v>
      </c>
      <c r="F168" s="2" t="s">
        <v>243</v>
      </c>
      <c r="G168" s="2" t="s">
        <v>244</v>
      </c>
      <c r="H168" s="2" t="s">
        <v>167</v>
      </c>
      <c r="I168" s="2">
        <f>ROUND(192/100,9)</f>
        <v>1.92</v>
      </c>
      <c r="J168" s="2">
        <v>0</v>
      </c>
      <c r="K168" s="2"/>
      <c r="L168" s="2"/>
      <c r="M168" s="2"/>
      <c r="N168" s="2"/>
      <c r="O168" s="2">
        <f t="shared" si="128"/>
        <v>248.44</v>
      </c>
      <c r="P168" s="2">
        <f t="shared" si="129"/>
        <v>135.74</v>
      </c>
      <c r="Q168" s="2">
        <f t="shared" si="130"/>
        <v>0</v>
      </c>
      <c r="R168" s="2">
        <f t="shared" si="131"/>
        <v>0</v>
      </c>
      <c r="S168" s="2">
        <f t="shared" si="132"/>
        <v>112.7</v>
      </c>
      <c r="T168" s="2">
        <f t="shared" si="133"/>
        <v>0</v>
      </c>
      <c r="U168" s="2">
        <f t="shared" si="134"/>
        <v>10.08</v>
      </c>
      <c r="V168" s="2">
        <f t="shared" si="135"/>
        <v>0</v>
      </c>
      <c r="W168" s="2">
        <f t="shared" si="136"/>
        <v>0</v>
      </c>
      <c r="X168" s="2">
        <f t="shared" si="137"/>
        <v>210.75</v>
      </c>
      <c r="Y168" s="2">
        <f t="shared" si="138"/>
        <v>113.83</v>
      </c>
      <c r="Z168" s="2"/>
      <c r="AA168" s="2">
        <v>45748053</v>
      </c>
      <c r="AB168" s="2">
        <f t="shared" si="139"/>
        <v>129.4</v>
      </c>
      <c r="AC168" s="2">
        <f t="shared" si="140"/>
        <v>70.7</v>
      </c>
      <c r="AD168" s="2">
        <f t="shared" si="141"/>
        <v>0</v>
      </c>
      <c r="AE168" s="2">
        <f t="shared" si="142"/>
        <v>0</v>
      </c>
      <c r="AF168" s="2">
        <f t="shared" si="143"/>
        <v>58.7</v>
      </c>
      <c r="AG168" s="2">
        <f t="shared" si="144"/>
        <v>0</v>
      </c>
      <c r="AH168" s="2">
        <f t="shared" si="145"/>
        <v>5.25</v>
      </c>
      <c r="AI168" s="2">
        <f t="shared" si="146"/>
        <v>0</v>
      </c>
      <c r="AJ168" s="2">
        <f t="shared" si="147"/>
        <v>0</v>
      </c>
      <c r="AK168" s="2">
        <v>129.4</v>
      </c>
      <c r="AL168" s="2">
        <v>70.7</v>
      </c>
      <c r="AM168" s="2">
        <v>0</v>
      </c>
      <c r="AN168" s="2">
        <v>0</v>
      </c>
      <c r="AO168" s="2">
        <v>58.7</v>
      </c>
      <c r="AP168" s="2">
        <v>0</v>
      </c>
      <c r="AQ168" s="2">
        <v>5.25</v>
      </c>
      <c r="AR168" s="2">
        <v>0</v>
      </c>
      <c r="AS168" s="2">
        <v>0</v>
      </c>
      <c r="AT168" s="2">
        <v>187</v>
      </c>
      <c r="AU168" s="2">
        <v>101</v>
      </c>
      <c r="AV168" s="2">
        <v>1</v>
      </c>
      <c r="AW168" s="2">
        <v>1</v>
      </c>
      <c r="AX168" s="2"/>
      <c r="AY168" s="2"/>
      <c r="AZ168" s="2">
        <v>1</v>
      </c>
      <c r="BA168" s="2">
        <v>1</v>
      </c>
      <c r="BB168" s="2">
        <v>1</v>
      </c>
      <c r="BC168" s="2">
        <v>1</v>
      </c>
      <c r="BD168" s="2" t="s">
        <v>3</v>
      </c>
      <c r="BE168" s="2" t="s">
        <v>3</v>
      </c>
      <c r="BF168" s="2" t="s">
        <v>3</v>
      </c>
      <c r="BG168" s="2" t="s">
        <v>3</v>
      </c>
      <c r="BH168" s="2">
        <v>0</v>
      </c>
      <c r="BI168" s="2">
        <v>1</v>
      </c>
      <c r="BJ168" s="2" t="s">
        <v>245</v>
      </c>
      <c r="BK168" s="2"/>
      <c r="BL168" s="2"/>
      <c r="BM168" s="2">
        <v>295</v>
      </c>
      <c r="BN168" s="2">
        <v>0</v>
      </c>
      <c r="BO168" s="2" t="s">
        <v>3</v>
      </c>
      <c r="BP168" s="2">
        <v>0</v>
      </c>
      <c r="BQ168" s="2">
        <v>30</v>
      </c>
      <c r="BR168" s="2">
        <v>0</v>
      </c>
      <c r="BS168" s="2">
        <v>1</v>
      </c>
      <c r="BT168" s="2">
        <v>1</v>
      </c>
      <c r="BU168" s="2">
        <v>1</v>
      </c>
      <c r="BV168" s="2">
        <v>1</v>
      </c>
      <c r="BW168" s="2">
        <v>1</v>
      </c>
      <c r="BX168" s="2">
        <v>1</v>
      </c>
      <c r="BY168" s="2" t="s">
        <v>3</v>
      </c>
      <c r="BZ168" s="2">
        <v>187</v>
      </c>
      <c r="CA168" s="2">
        <v>101</v>
      </c>
      <c r="CB168" s="2"/>
      <c r="CC168" s="2"/>
      <c r="CD168" s="2"/>
      <c r="CE168" s="2">
        <v>30</v>
      </c>
      <c r="CF168" s="2">
        <v>0</v>
      </c>
      <c r="CG168" s="2">
        <v>0</v>
      </c>
      <c r="CH168" s="2"/>
      <c r="CI168" s="2"/>
      <c r="CJ168" s="2"/>
      <c r="CK168" s="2"/>
      <c r="CL168" s="2"/>
      <c r="CM168" s="2">
        <v>0</v>
      </c>
      <c r="CN168" s="2" t="s">
        <v>3</v>
      </c>
      <c r="CO168" s="2">
        <v>0</v>
      </c>
      <c r="CP168" s="2">
        <f t="shared" si="148"/>
        <v>248.44</v>
      </c>
      <c r="CQ168" s="2">
        <f t="shared" si="149"/>
        <v>70.7</v>
      </c>
      <c r="CR168" s="2">
        <f t="shared" si="150"/>
        <v>0</v>
      </c>
      <c r="CS168" s="2">
        <f t="shared" si="151"/>
        <v>0</v>
      </c>
      <c r="CT168" s="2">
        <f t="shared" si="152"/>
        <v>58.7</v>
      </c>
      <c r="CU168" s="2">
        <f t="shared" si="153"/>
        <v>0</v>
      </c>
      <c r="CV168" s="2">
        <f t="shared" si="154"/>
        <v>5.25</v>
      </c>
      <c r="CW168" s="2">
        <f t="shared" si="155"/>
        <v>0</v>
      </c>
      <c r="CX168" s="2">
        <f t="shared" si="156"/>
        <v>0</v>
      </c>
      <c r="CY168" s="2">
        <f>((S168*BZ168)/100)</f>
        <v>210.74900000000002</v>
      </c>
      <c r="CZ168" s="2">
        <f>((S168*CA168)/100)</f>
        <v>113.82700000000001</v>
      </c>
      <c r="DA168" s="2"/>
      <c r="DB168" s="2"/>
      <c r="DC168" s="2" t="s">
        <v>3</v>
      </c>
      <c r="DD168" s="2" t="s">
        <v>3</v>
      </c>
      <c r="DE168" s="2" t="s">
        <v>3</v>
      </c>
      <c r="DF168" s="2" t="s">
        <v>3</v>
      </c>
      <c r="DG168" s="2" t="s">
        <v>3</v>
      </c>
      <c r="DH168" s="2" t="s">
        <v>3</v>
      </c>
      <c r="DI168" s="2" t="s">
        <v>3</v>
      </c>
      <c r="DJ168" s="2" t="s">
        <v>3</v>
      </c>
      <c r="DK168" s="2" t="s">
        <v>3</v>
      </c>
      <c r="DL168" s="2" t="s">
        <v>3</v>
      </c>
      <c r="DM168" s="2" t="s">
        <v>3</v>
      </c>
      <c r="DN168" s="2">
        <v>0</v>
      </c>
      <c r="DO168" s="2">
        <v>0</v>
      </c>
      <c r="DP168" s="2">
        <v>1</v>
      </c>
      <c r="DQ168" s="2">
        <v>1</v>
      </c>
      <c r="DR168" s="2"/>
      <c r="DS168" s="2"/>
      <c r="DT168" s="2"/>
      <c r="DU168" s="2">
        <v>1005</v>
      </c>
      <c r="DV168" s="2" t="s">
        <v>167</v>
      </c>
      <c r="DW168" s="2" t="s">
        <v>167</v>
      </c>
      <c r="DX168" s="2">
        <v>100</v>
      </c>
      <c r="DY168" s="2"/>
      <c r="DZ168" s="2"/>
      <c r="EA168" s="2"/>
      <c r="EB168" s="2"/>
      <c r="EC168" s="2"/>
      <c r="ED168" s="2"/>
      <c r="EE168" s="2">
        <v>45706755</v>
      </c>
      <c r="EF168" s="2">
        <v>30</v>
      </c>
      <c r="EG168" s="2" t="s">
        <v>58</v>
      </c>
      <c r="EH168" s="2">
        <v>0</v>
      </c>
      <c r="EI168" s="2" t="s">
        <v>3</v>
      </c>
      <c r="EJ168" s="2">
        <v>1</v>
      </c>
      <c r="EK168" s="2">
        <v>295</v>
      </c>
      <c r="EL168" s="2" t="s">
        <v>231</v>
      </c>
      <c r="EM168" s="2" t="s">
        <v>232</v>
      </c>
      <c r="EN168" s="2"/>
      <c r="EO168" s="2" t="s">
        <v>3</v>
      </c>
      <c r="EP168" s="2"/>
      <c r="EQ168" s="2">
        <v>0</v>
      </c>
      <c r="ER168" s="2">
        <v>129.4</v>
      </c>
      <c r="ES168" s="2">
        <v>70.7</v>
      </c>
      <c r="ET168" s="2">
        <v>0</v>
      </c>
      <c r="EU168" s="2">
        <v>0</v>
      </c>
      <c r="EV168" s="2">
        <v>58.7</v>
      </c>
      <c r="EW168" s="2">
        <v>5.25</v>
      </c>
      <c r="EX168" s="2">
        <v>0</v>
      </c>
      <c r="EY168" s="2">
        <v>0</v>
      </c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>
        <v>0</v>
      </c>
      <c r="FR168" s="2">
        <f t="shared" si="157"/>
        <v>0</v>
      </c>
      <c r="FS168" s="2">
        <v>0</v>
      </c>
      <c r="FT168" s="2"/>
      <c r="FU168" s="2"/>
      <c r="FV168" s="2"/>
      <c r="FW168" s="2"/>
      <c r="FX168" s="2">
        <v>187</v>
      </c>
      <c r="FY168" s="2">
        <v>101</v>
      </c>
      <c r="FZ168" s="2"/>
      <c r="GA168" s="2" t="s">
        <v>3</v>
      </c>
      <c r="GB168" s="2"/>
      <c r="GC168" s="2"/>
      <c r="GD168" s="2">
        <v>0</v>
      </c>
      <c r="GE168" s="2"/>
      <c r="GF168" s="2">
        <v>-970148411</v>
      </c>
      <c r="GG168" s="2">
        <v>2</v>
      </c>
      <c r="GH168" s="2">
        <v>1</v>
      </c>
      <c r="GI168" s="2">
        <v>-2</v>
      </c>
      <c r="GJ168" s="2">
        <v>0</v>
      </c>
      <c r="GK168" s="2">
        <f>ROUND(R168*(R12)/100,2)</f>
        <v>0</v>
      </c>
      <c r="GL168" s="2">
        <f t="shared" si="158"/>
        <v>0</v>
      </c>
      <c r="GM168" s="2">
        <f t="shared" si="166"/>
        <v>573.02</v>
      </c>
      <c r="GN168" s="2">
        <f t="shared" si="167"/>
        <v>573.02</v>
      </c>
      <c r="GO168" s="2">
        <f t="shared" si="168"/>
        <v>0</v>
      </c>
      <c r="GP168" s="2">
        <f t="shared" si="169"/>
        <v>0</v>
      </c>
      <c r="GQ168" s="2"/>
      <c r="GR168" s="2">
        <v>0</v>
      </c>
      <c r="GS168" s="2">
        <v>0</v>
      </c>
      <c r="GT168" s="2">
        <v>0</v>
      </c>
      <c r="GU168" s="2" t="s">
        <v>3</v>
      </c>
      <c r="GV168" s="2">
        <f t="shared" si="163"/>
        <v>0</v>
      </c>
      <c r="GW168" s="2">
        <v>1</v>
      </c>
      <c r="GX168" s="2">
        <f t="shared" si="164"/>
        <v>0</v>
      </c>
      <c r="GY168" s="2"/>
      <c r="GZ168" s="2"/>
      <c r="HA168" s="2">
        <v>0</v>
      </c>
      <c r="HB168" s="2">
        <v>0</v>
      </c>
      <c r="HC168" s="2">
        <f t="shared" si="165"/>
        <v>0</v>
      </c>
      <c r="HD168" s="2"/>
      <c r="HE168" s="2" t="s">
        <v>3</v>
      </c>
      <c r="HF168" s="2" t="s">
        <v>3</v>
      </c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>
        <v>0</v>
      </c>
      <c r="IL168" s="2"/>
      <c r="IM168" s="2"/>
      <c r="IN168" s="2"/>
      <c r="IO168" s="2"/>
      <c r="IP168" s="2"/>
      <c r="IQ168" s="2"/>
      <c r="IR168" s="2"/>
      <c r="IS168" s="2"/>
      <c r="IT168" s="2"/>
      <c r="IU168" s="2"/>
    </row>
    <row r="169" spans="1:255" x14ac:dyDescent="0.2">
      <c r="A169">
        <v>17</v>
      </c>
      <c r="B169">
        <v>1</v>
      </c>
      <c r="C169">
        <f>ROW(SmtRes!A132)</f>
        <v>132</v>
      </c>
      <c r="D169">
        <f>ROW(EtalonRes!A132)</f>
        <v>132</v>
      </c>
      <c r="E169" t="s">
        <v>242</v>
      </c>
      <c r="F169" t="s">
        <v>243</v>
      </c>
      <c r="G169" t="s">
        <v>244</v>
      </c>
      <c r="H169" t="s">
        <v>167</v>
      </c>
      <c r="I169">
        <f>ROUND(192/100,9)</f>
        <v>1.92</v>
      </c>
      <c r="J169">
        <v>0</v>
      </c>
      <c r="O169">
        <f t="shared" si="128"/>
        <v>3509.49</v>
      </c>
      <c r="P169">
        <f t="shared" si="129"/>
        <v>677.34</v>
      </c>
      <c r="Q169">
        <f t="shared" si="130"/>
        <v>0</v>
      </c>
      <c r="R169">
        <f t="shared" si="131"/>
        <v>0</v>
      </c>
      <c r="S169">
        <f t="shared" si="132"/>
        <v>2832.15</v>
      </c>
      <c r="T169">
        <f t="shared" si="133"/>
        <v>0</v>
      </c>
      <c r="U169">
        <f t="shared" si="134"/>
        <v>10.08</v>
      </c>
      <c r="V169">
        <f t="shared" si="135"/>
        <v>0</v>
      </c>
      <c r="W169">
        <f t="shared" si="136"/>
        <v>0</v>
      </c>
      <c r="X169">
        <f t="shared" si="137"/>
        <v>2888.79</v>
      </c>
      <c r="Y169">
        <f t="shared" si="138"/>
        <v>1331.11</v>
      </c>
      <c r="AA169">
        <v>45747932</v>
      </c>
      <c r="AB169">
        <f t="shared" si="139"/>
        <v>129.4</v>
      </c>
      <c r="AC169">
        <f t="shared" si="140"/>
        <v>70.7</v>
      </c>
      <c r="AD169">
        <f t="shared" si="141"/>
        <v>0</v>
      </c>
      <c r="AE169">
        <f t="shared" si="142"/>
        <v>0</v>
      </c>
      <c r="AF169">
        <f t="shared" si="143"/>
        <v>58.7</v>
      </c>
      <c r="AG169">
        <f t="shared" si="144"/>
        <v>0</v>
      </c>
      <c r="AH169">
        <f t="shared" si="145"/>
        <v>5.25</v>
      </c>
      <c r="AI169">
        <f t="shared" si="146"/>
        <v>0</v>
      </c>
      <c r="AJ169">
        <f t="shared" si="147"/>
        <v>0</v>
      </c>
      <c r="AK169">
        <v>129.4</v>
      </c>
      <c r="AL169">
        <v>70.7</v>
      </c>
      <c r="AM169">
        <v>0</v>
      </c>
      <c r="AN169">
        <v>0</v>
      </c>
      <c r="AO169">
        <v>58.7</v>
      </c>
      <c r="AP169">
        <v>0</v>
      </c>
      <c r="AQ169">
        <v>5.25</v>
      </c>
      <c r="AR169">
        <v>0</v>
      </c>
      <c r="AS169">
        <v>0</v>
      </c>
      <c r="AT169">
        <v>102</v>
      </c>
      <c r="AU169">
        <v>47</v>
      </c>
      <c r="AV169">
        <v>1</v>
      </c>
      <c r="AW169">
        <v>1</v>
      </c>
      <c r="AZ169">
        <v>1</v>
      </c>
      <c r="BA169">
        <v>25.13</v>
      </c>
      <c r="BB169">
        <v>1</v>
      </c>
      <c r="BC169">
        <v>4.99</v>
      </c>
      <c r="BD169" t="s">
        <v>3</v>
      </c>
      <c r="BE169" t="s">
        <v>3</v>
      </c>
      <c r="BF169" t="s">
        <v>3</v>
      </c>
      <c r="BG169" t="s">
        <v>3</v>
      </c>
      <c r="BH169">
        <v>0</v>
      </c>
      <c r="BI169">
        <v>1</v>
      </c>
      <c r="BJ169" t="s">
        <v>245</v>
      </c>
      <c r="BM169">
        <v>295</v>
      </c>
      <c r="BN169">
        <v>0</v>
      </c>
      <c r="BO169" t="s">
        <v>243</v>
      </c>
      <c r="BP169">
        <v>1</v>
      </c>
      <c r="BQ169">
        <v>30</v>
      </c>
      <c r="BR169">
        <v>0</v>
      </c>
      <c r="BS169">
        <v>25.13</v>
      </c>
      <c r="BT169">
        <v>1</v>
      </c>
      <c r="BU169">
        <v>1</v>
      </c>
      <c r="BV169">
        <v>1</v>
      </c>
      <c r="BW169">
        <v>1</v>
      </c>
      <c r="BX169">
        <v>1</v>
      </c>
      <c r="BY169" t="s">
        <v>3</v>
      </c>
      <c r="BZ169">
        <v>102</v>
      </c>
      <c r="CA169">
        <v>47</v>
      </c>
      <c r="CE169">
        <v>30</v>
      </c>
      <c r="CF169">
        <v>0</v>
      </c>
      <c r="CG169">
        <v>0</v>
      </c>
      <c r="CM169">
        <v>0</v>
      </c>
      <c r="CN169" t="s">
        <v>3</v>
      </c>
      <c r="CO169">
        <v>0</v>
      </c>
      <c r="CP169">
        <f t="shared" si="148"/>
        <v>3509.4900000000002</v>
      </c>
      <c r="CQ169">
        <f t="shared" si="149"/>
        <v>352.79</v>
      </c>
      <c r="CR169">
        <f t="shared" si="150"/>
        <v>0</v>
      </c>
      <c r="CS169">
        <f t="shared" si="151"/>
        <v>0</v>
      </c>
      <c r="CT169">
        <f t="shared" si="152"/>
        <v>1475.13</v>
      </c>
      <c r="CU169">
        <f t="shared" si="153"/>
        <v>0</v>
      </c>
      <c r="CV169">
        <f t="shared" si="154"/>
        <v>5.25</v>
      </c>
      <c r="CW169">
        <f t="shared" si="155"/>
        <v>0</v>
      </c>
      <c r="CX169">
        <f t="shared" si="156"/>
        <v>0</v>
      </c>
      <c r="CY169">
        <f>S169*(BZ169/100)</f>
        <v>2888.7930000000001</v>
      </c>
      <c r="CZ169">
        <f>S169*(CA169/100)</f>
        <v>1331.1105</v>
      </c>
      <c r="DC169" t="s">
        <v>3</v>
      </c>
      <c r="DD169" t="s">
        <v>3</v>
      </c>
      <c r="DE169" t="s">
        <v>3</v>
      </c>
      <c r="DF169" t="s">
        <v>3</v>
      </c>
      <c r="DG169" t="s">
        <v>3</v>
      </c>
      <c r="DH169" t="s">
        <v>3</v>
      </c>
      <c r="DI169" t="s">
        <v>3</v>
      </c>
      <c r="DJ169" t="s">
        <v>3</v>
      </c>
      <c r="DK169" t="s">
        <v>3</v>
      </c>
      <c r="DL169" t="s">
        <v>3</v>
      </c>
      <c r="DM169" t="s">
        <v>3</v>
      </c>
      <c r="DN169">
        <v>187</v>
      </c>
      <c r="DO169">
        <v>101</v>
      </c>
      <c r="DP169">
        <v>1</v>
      </c>
      <c r="DQ169">
        <v>1</v>
      </c>
      <c r="DU169">
        <v>1005</v>
      </c>
      <c r="DV169" t="s">
        <v>167</v>
      </c>
      <c r="DW169" t="s">
        <v>167</v>
      </c>
      <c r="DX169">
        <v>100</v>
      </c>
      <c r="EE169">
        <v>45706755</v>
      </c>
      <c r="EF169">
        <v>30</v>
      </c>
      <c r="EG169" t="s">
        <v>58</v>
      </c>
      <c r="EH169">
        <v>0</v>
      </c>
      <c r="EI169" t="s">
        <v>3</v>
      </c>
      <c r="EJ169">
        <v>1</v>
      </c>
      <c r="EK169">
        <v>295</v>
      </c>
      <c r="EL169" t="s">
        <v>231</v>
      </c>
      <c r="EM169" t="s">
        <v>232</v>
      </c>
      <c r="EO169" t="s">
        <v>3</v>
      </c>
      <c r="EQ169">
        <v>0</v>
      </c>
      <c r="ER169">
        <v>129.4</v>
      </c>
      <c r="ES169">
        <v>70.7</v>
      </c>
      <c r="ET169">
        <v>0</v>
      </c>
      <c r="EU169">
        <v>0</v>
      </c>
      <c r="EV169">
        <v>58.7</v>
      </c>
      <c r="EW169">
        <v>5.25</v>
      </c>
      <c r="EX169">
        <v>0</v>
      </c>
      <c r="EY169">
        <v>0</v>
      </c>
      <c r="FQ169">
        <v>0</v>
      </c>
      <c r="FR169">
        <f t="shared" si="157"/>
        <v>0</v>
      </c>
      <c r="FS169">
        <v>0</v>
      </c>
      <c r="FX169">
        <v>187</v>
      </c>
      <c r="FY169">
        <v>101</v>
      </c>
      <c r="GA169" t="s">
        <v>3</v>
      </c>
      <c r="GD169">
        <v>0</v>
      </c>
      <c r="GF169">
        <v>-970148411</v>
      </c>
      <c r="GG169">
        <v>2</v>
      </c>
      <c r="GH169">
        <v>1</v>
      </c>
      <c r="GI169">
        <v>2</v>
      </c>
      <c r="GJ169">
        <v>0</v>
      </c>
      <c r="GK169">
        <f>ROUND(R169*(S12)/100,2)</f>
        <v>0</v>
      </c>
      <c r="GL169">
        <f t="shared" si="158"/>
        <v>0</v>
      </c>
      <c r="GM169">
        <f t="shared" si="166"/>
        <v>7729.39</v>
      </c>
      <c r="GN169">
        <f t="shared" si="167"/>
        <v>7729.39</v>
      </c>
      <c r="GO169">
        <f t="shared" si="168"/>
        <v>0</v>
      </c>
      <c r="GP169">
        <f t="shared" si="169"/>
        <v>0</v>
      </c>
      <c r="GR169">
        <v>0</v>
      </c>
      <c r="GS169">
        <v>0</v>
      </c>
      <c r="GT169">
        <v>0</v>
      </c>
      <c r="GU169" t="s">
        <v>3</v>
      </c>
      <c r="GV169">
        <f t="shared" si="163"/>
        <v>0</v>
      </c>
      <c r="GW169">
        <v>1</v>
      </c>
      <c r="GX169">
        <f t="shared" si="164"/>
        <v>0</v>
      </c>
      <c r="HA169">
        <v>0</v>
      </c>
      <c r="HB169">
        <v>0</v>
      </c>
      <c r="HC169">
        <f t="shared" si="165"/>
        <v>0</v>
      </c>
      <c r="HE169" t="s">
        <v>3</v>
      </c>
      <c r="HF169" t="s">
        <v>3</v>
      </c>
      <c r="IK169">
        <v>0</v>
      </c>
    </row>
    <row r="170" spans="1:255" x14ac:dyDescent="0.2">
      <c r="A170" s="2">
        <v>18</v>
      </c>
      <c r="B170" s="2">
        <v>1</v>
      </c>
      <c r="C170" s="2">
        <v>129</v>
      </c>
      <c r="D170" s="2"/>
      <c r="E170" s="2" t="s">
        <v>246</v>
      </c>
      <c r="F170" s="2" t="s">
        <v>247</v>
      </c>
      <c r="G170" s="2" t="s">
        <v>248</v>
      </c>
      <c r="H170" s="2" t="s">
        <v>249</v>
      </c>
      <c r="I170" s="2">
        <f>I168*J170</f>
        <v>7.68</v>
      </c>
      <c r="J170" s="2">
        <v>4</v>
      </c>
      <c r="K170" s="2"/>
      <c r="L170" s="2"/>
      <c r="M170" s="2"/>
      <c r="N170" s="2"/>
      <c r="O170" s="2">
        <f t="shared" si="128"/>
        <v>444.9</v>
      </c>
      <c r="P170" s="2">
        <f t="shared" si="129"/>
        <v>444.9</v>
      </c>
      <c r="Q170" s="2">
        <f t="shared" si="130"/>
        <v>0</v>
      </c>
      <c r="R170" s="2">
        <f t="shared" si="131"/>
        <v>0</v>
      </c>
      <c r="S170" s="2">
        <f t="shared" si="132"/>
        <v>0</v>
      </c>
      <c r="T170" s="2">
        <f t="shared" si="133"/>
        <v>0</v>
      </c>
      <c r="U170" s="2">
        <f t="shared" si="134"/>
        <v>0</v>
      </c>
      <c r="V170" s="2">
        <f t="shared" si="135"/>
        <v>0</v>
      </c>
      <c r="W170" s="2">
        <f t="shared" si="136"/>
        <v>0</v>
      </c>
      <c r="X170" s="2">
        <f t="shared" si="137"/>
        <v>0</v>
      </c>
      <c r="Y170" s="2">
        <f t="shared" si="138"/>
        <v>0</v>
      </c>
      <c r="Z170" s="2"/>
      <c r="AA170" s="2">
        <v>45748053</v>
      </c>
      <c r="AB170" s="2">
        <f t="shared" si="139"/>
        <v>57.93</v>
      </c>
      <c r="AC170" s="2">
        <f t="shared" si="140"/>
        <v>57.93</v>
      </c>
      <c r="AD170" s="2">
        <f t="shared" si="141"/>
        <v>0</v>
      </c>
      <c r="AE170" s="2">
        <f t="shared" si="142"/>
        <v>0</v>
      </c>
      <c r="AF170" s="2">
        <f t="shared" si="143"/>
        <v>0</v>
      </c>
      <c r="AG170" s="2">
        <f t="shared" si="144"/>
        <v>0</v>
      </c>
      <c r="AH170" s="2">
        <f t="shared" si="145"/>
        <v>0</v>
      </c>
      <c r="AI170" s="2">
        <f t="shared" si="146"/>
        <v>0</v>
      </c>
      <c r="AJ170" s="2">
        <f t="shared" si="147"/>
        <v>0</v>
      </c>
      <c r="AK170" s="2">
        <v>57.93</v>
      </c>
      <c r="AL170" s="2">
        <v>57.93</v>
      </c>
      <c r="AM170" s="2">
        <v>0</v>
      </c>
      <c r="AN170" s="2">
        <v>0</v>
      </c>
      <c r="AO170" s="2">
        <v>0</v>
      </c>
      <c r="AP170" s="2">
        <v>0</v>
      </c>
      <c r="AQ170" s="2">
        <v>0</v>
      </c>
      <c r="AR170" s="2">
        <v>0</v>
      </c>
      <c r="AS170" s="2">
        <v>0</v>
      </c>
      <c r="AT170" s="2">
        <v>187</v>
      </c>
      <c r="AU170" s="2">
        <v>101</v>
      </c>
      <c r="AV170" s="2">
        <v>1</v>
      </c>
      <c r="AW170" s="2">
        <v>1</v>
      </c>
      <c r="AX170" s="2"/>
      <c r="AY170" s="2"/>
      <c r="AZ170" s="2">
        <v>1</v>
      </c>
      <c r="BA170" s="2">
        <v>1</v>
      </c>
      <c r="BB170" s="2">
        <v>1</v>
      </c>
      <c r="BC170" s="2">
        <v>1</v>
      </c>
      <c r="BD170" s="2" t="s">
        <v>3</v>
      </c>
      <c r="BE170" s="2" t="s">
        <v>3</v>
      </c>
      <c r="BF170" s="2" t="s">
        <v>3</v>
      </c>
      <c r="BG170" s="2" t="s">
        <v>3</v>
      </c>
      <c r="BH170" s="2">
        <v>3</v>
      </c>
      <c r="BI170" s="2">
        <v>1</v>
      </c>
      <c r="BJ170" s="2" t="s">
        <v>250</v>
      </c>
      <c r="BK170" s="2"/>
      <c r="BL170" s="2"/>
      <c r="BM170" s="2">
        <v>295</v>
      </c>
      <c r="BN170" s="2">
        <v>0</v>
      </c>
      <c r="BO170" s="2" t="s">
        <v>3</v>
      </c>
      <c r="BP170" s="2">
        <v>0</v>
      </c>
      <c r="BQ170" s="2">
        <v>30</v>
      </c>
      <c r="BR170" s="2">
        <v>0</v>
      </c>
      <c r="BS170" s="2">
        <v>1</v>
      </c>
      <c r="BT170" s="2">
        <v>1</v>
      </c>
      <c r="BU170" s="2">
        <v>1</v>
      </c>
      <c r="BV170" s="2">
        <v>1</v>
      </c>
      <c r="BW170" s="2">
        <v>1</v>
      </c>
      <c r="BX170" s="2">
        <v>1</v>
      </c>
      <c r="BY170" s="2" t="s">
        <v>3</v>
      </c>
      <c r="BZ170" s="2">
        <v>187</v>
      </c>
      <c r="CA170" s="2">
        <v>101</v>
      </c>
      <c r="CB170" s="2"/>
      <c r="CC170" s="2"/>
      <c r="CD170" s="2"/>
      <c r="CE170" s="2">
        <v>30</v>
      </c>
      <c r="CF170" s="2">
        <v>0</v>
      </c>
      <c r="CG170" s="2">
        <v>0</v>
      </c>
      <c r="CH170" s="2"/>
      <c r="CI170" s="2"/>
      <c r="CJ170" s="2"/>
      <c r="CK170" s="2"/>
      <c r="CL170" s="2"/>
      <c r="CM170" s="2">
        <v>0</v>
      </c>
      <c r="CN170" s="2" t="s">
        <v>3</v>
      </c>
      <c r="CO170" s="2">
        <v>0</v>
      </c>
      <c r="CP170" s="2">
        <f t="shared" si="148"/>
        <v>444.9</v>
      </c>
      <c r="CQ170" s="2">
        <f t="shared" si="149"/>
        <v>57.93</v>
      </c>
      <c r="CR170" s="2">
        <f t="shared" si="150"/>
        <v>0</v>
      </c>
      <c r="CS170" s="2">
        <f t="shared" si="151"/>
        <v>0</v>
      </c>
      <c r="CT170" s="2">
        <f t="shared" si="152"/>
        <v>0</v>
      </c>
      <c r="CU170" s="2">
        <f t="shared" si="153"/>
        <v>0</v>
      </c>
      <c r="CV170" s="2">
        <f t="shared" si="154"/>
        <v>0</v>
      </c>
      <c r="CW170" s="2">
        <f t="shared" si="155"/>
        <v>0</v>
      </c>
      <c r="CX170" s="2">
        <f t="shared" si="156"/>
        <v>0</v>
      </c>
      <c r="CY170" s="2">
        <f>((S170*BZ170)/100)</f>
        <v>0</v>
      </c>
      <c r="CZ170" s="2">
        <f>((S170*CA170)/100)</f>
        <v>0</v>
      </c>
      <c r="DA170" s="2"/>
      <c r="DB170" s="2"/>
      <c r="DC170" s="2" t="s">
        <v>3</v>
      </c>
      <c r="DD170" s="2" t="s">
        <v>3</v>
      </c>
      <c r="DE170" s="2" t="s">
        <v>3</v>
      </c>
      <c r="DF170" s="2" t="s">
        <v>3</v>
      </c>
      <c r="DG170" s="2" t="s">
        <v>3</v>
      </c>
      <c r="DH170" s="2" t="s">
        <v>3</v>
      </c>
      <c r="DI170" s="2" t="s">
        <v>3</v>
      </c>
      <c r="DJ170" s="2" t="s">
        <v>3</v>
      </c>
      <c r="DK170" s="2" t="s">
        <v>3</v>
      </c>
      <c r="DL170" s="2" t="s">
        <v>3</v>
      </c>
      <c r="DM170" s="2" t="s">
        <v>3</v>
      </c>
      <c r="DN170" s="2">
        <v>0</v>
      </c>
      <c r="DO170" s="2">
        <v>0</v>
      </c>
      <c r="DP170" s="2">
        <v>1</v>
      </c>
      <c r="DQ170" s="2">
        <v>1</v>
      </c>
      <c r="DR170" s="2"/>
      <c r="DS170" s="2"/>
      <c r="DT170" s="2"/>
      <c r="DU170" s="2">
        <v>1009</v>
      </c>
      <c r="DV170" s="2" t="s">
        <v>249</v>
      </c>
      <c r="DW170" s="2" t="s">
        <v>249</v>
      </c>
      <c r="DX170" s="2">
        <v>1</v>
      </c>
      <c r="DY170" s="2"/>
      <c r="DZ170" s="2"/>
      <c r="EA170" s="2"/>
      <c r="EB170" s="2"/>
      <c r="EC170" s="2"/>
      <c r="ED170" s="2"/>
      <c r="EE170" s="2">
        <v>45706755</v>
      </c>
      <c r="EF170" s="2">
        <v>30</v>
      </c>
      <c r="EG170" s="2" t="s">
        <v>58</v>
      </c>
      <c r="EH170" s="2">
        <v>0</v>
      </c>
      <c r="EI170" s="2" t="s">
        <v>3</v>
      </c>
      <c r="EJ170" s="2">
        <v>1</v>
      </c>
      <c r="EK170" s="2">
        <v>295</v>
      </c>
      <c r="EL170" s="2" t="s">
        <v>231</v>
      </c>
      <c r="EM170" s="2" t="s">
        <v>232</v>
      </c>
      <c r="EN170" s="2"/>
      <c r="EO170" s="2" t="s">
        <v>3</v>
      </c>
      <c r="EP170" s="2"/>
      <c r="EQ170" s="2">
        <v>0</v>
      </c>
      <c r="ER170" s="2">
        <v>57.93</v>
      </c>
      <c r="ES170" s="2">
        <v>57.93</v>
      </c>
      <c r="ET170" s="2">
        <v>0</v>
      </c>
      <c r="EU170" s="2">
        <v>0</v>
      </c>
      <c r="EV170" s="2">
        <v>0</v>
      </c>
      <c r="EW170" s="2">
        <v>0</v>
      </c>
      <c r="EX170" s="2">
        <v>0</v>
      </c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>
        <v>0</v>
      </c>
      <c r="FR170" s="2">
        <f t="shared" si="157"/>
        <v>0</v>
      </c>
      <c r="FS170" s="2">
        <v>0</v>
      </c>
      <c r="FT170" s="2"/>
      <c r="FU170" s="2"/>
      <c r="FV170" s="2"/>
      <c r="FW170" s="2"/>
      <c r="FX170" s="2">
        <v>187</v>
      </c>
      <c r="FY170" s="2">
        <v>101</v>
      </c>
      <c r="FZ170" s="2"/>
      <c r="GA170" s="2" t="s">
        <v>3</v>
      </c>
      <c r="GB170" s="2"/>
      <c r="GC170" s="2"/>
      <c r="GD170" s="2">
        <v>0</v>
      </c>
      <c r="GE170" s="2"/>
      <c r="GF170" s="2">
        <v>735025367</v>
      </c>
      <c r="GG170" s="2">
        <v>2</v>
      </c>
      <c r="GH170" s="2">
        <v>1</v>
      </c>
      <c r="GI170" s="2">
        <v>-2</v>
      </c>
      <c r="GJ170" s="2">
        <v>0</v>
      </c>
      <c r="GK170" s="2">
        <f>ROUND(R170*(R12)/100,2)</f>
        <v>0</v>
      </c>
      <c r="GL170" s="2">
        <f t="shared" si="158"/>
        <v>0</v>
      </c>
      <c r="GM170" s="2">
        <f t="shared" si="166"/>
        <v>444.9</v>
      </c>
      <c r="GN170" s="2">
        <f t="shared" si="167"/>
        <v>444.9</v>
      </c>
      <c r="GO170" s="2">
        <f t="shared" si="168"/>
        <v>0</v>
      </c>
      <c r="GP170" s="2">
        <f t="shared" si="169"/>
        <v>0</v>
      </c>
      <c r="GQ170" s="2"/>
      <c r="GR170" s="2">
        <v>0</v>
      </c>
      <c r="GS170" s="2">
        <v>0</v>
      </c>
      <c r="GT170" s="2">
        <v>0</v>
      </c>
      <c r="GU170" s="2" t="s">
        <v>3</v>
      </c>
      <c r="GV170" s="2">
        <f t="shared" si="163"/>
        <v>0</v>
      </c>
      <c r="GW170" s="2">
        <v>1</v>
      </c>
      <c r="GX170" s="2">
        <f t="shared" si="164"/>
        <v>0</v>
      </c>
      <c r="GY170" s="2"/>
      <c r="GZ170" s="2"/>
      <c r="HA170" s="2">
        <v>0</v>
      </c>
      <c r="HB170" s="2">
        <v>0</v>
      </c>
      <c r="HC170" s="2">
        <f t="shared" si="165"/>
        <v>0</v>
      </c>
      <c r="HD170" s="2"/>
      <c r="HE170" s="2" t="s">
        <v>3</v>
      </c>
      <c r="HF170" s="2" t="s">
        <v>3</v>
      </c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>
        <v>0</v>
      </c>
      <c r="IL170" s="2"/>
      <c r="IM170" s="2"/>
      <c r="IN170" s="2"/>
      <c r="IO170" s="2"/>
      <c r="IP170" s="2"/>
      <c r="IQ170" s="2"/>
      <c r="IR170" s="2"/>
      <c r="IS170" s="2"/>
      <c r="IT170" s="2"/>
      <c r="IU170" s="2"/>
    </row>
    <row r="171" spans="1:255" x14ac:dyDescent="0.2">
      <c r="A171">
        <v>18</v>
      </c>
      <c r="B171">
        <v>1</v>
      </c>
      <c r="C171">
        <v>132</v>
      </c>
      <c r="E171" t="s">
        <v>246</v>
      </c>
      <c r="F171" t="s">
        <v>247</v>
      </c>
      <c r="G171" t="s">
        <v>248</v>
      </c>
      <c r="H171" t="s">
        <v>249</v>
      </c>
      <c r="I171">
        <f>I169*J171</f>
        <v>7.68</v>
      </c>
      <c r="J171">
        <v>4</v>
      </c>
      <c r="O171">
        <f t="shared" si="128"/>
        <v>818.62</v>
      </c>
      <c r="P171">
        <f t="shared" si="129"/>
        <v>818.62</v>
      </c>
      <c r="Q171">
        <f t="shared" si="130"/>
        <v>0</v>
      </c>
      <c r="R171">
        <f t="shared" si="131"/>
        <v>0</v>
      </c>
      <c r="S171">
        <f t="shared" si="132"/>
        <v>0</v>
      </c>
      <c r="T171">
        <f t="shared" si="133"/>
        <v>0</v>
      </c>
      <c r="U171">
        <f t="shared" si="134"/>
        <v>0</v>
      </c>
      <c r="V171">
        <f t="shared" si="135"/>
        <v>0</v>
      </c>
      <c r="W171">
        <f t="shared" si="136"/>
        <v>0</v>
      </c>
      <c r="X171">
        <f t="shared" si="137"/>
        <v>0</v>
      </c>
      <c r="Y171">
        <f t="shared" si="138"/>
        <v>0</v>
      </c>
      <c r="AA171">
        <v>45747932</v>
      </c>
      <c r="AB171">
        <f t="shared" si="139"/>
        <v>57.93</v>
      </c>
      <c r="AC171">
        <f t="shared" si="140"/>
        <v>57.93</v>
      </c>
      <c r="AD171">
        <f t="shared" si="141"/>
        <v>0</v>
      </c>
      <c r="AE171">
        <f t="shared" si="142"/>
        <v>0</v>
      </c>
      <c r="AF171">
        <f t="shared" si="143"/>
        <v>0</v>
      </c>
      <c r="AG171">
        <f t="shared" si="144"/>
        <v>0</v>
      </c>
      <c r="AH171">
        <f t="shared" si="145"/>
        <v>0</v>
      </c>
      <c r="AI171">
        <f t="shared" si="146"/>
        <v>0</v>
      </c>
      <c r="AJ171">
        <f t="shared" si="147"/>
        <v>0</v>
      </c>
      <c r="AK171">
        <v>57.93</v>
      </c>
      <c r="AL171">
        <v>57.93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  <c r="AS171">
        <v>0</v>
      </c>
      <c r="AT171">
        <v>0</v>
      </c>
      <c r="AU171">
        <v>0</v>
      </c>
      <c r="AV171">
        <v>1</v>
      </c>
      <c r="AW171">
        <v>1</v>
      </c>
      <c r="AZ171">
        <v>1</v>
      </c>
      <c r="BA171">
        <v>1</v>
      </c>
      <c r="BB171">
        <v>1</v>
      </c>
      <c r="BC171">
        <v>1.84</v>
      </c>
      <c r="BD171" t="s">
        <v>3</v>
      </c>
      <c r="BE171" t="s">
        <v>3</v>
      </c>
      <c r="BF171" t="s">
        <v>3</v>
      </c>
      <c r="BG171" t="s">
        <v>3</v>
      </c>
      <c r="BH171">
        <v>3</v>
      </c>
      <c r="BI171">
        <v>1</v>
      </c>
      <c r="BJ171" t="s">
        <v>250</v>
      </c>
      <c r="BM171">
        <v>295</v>
      </c>
      <c r="BN171">
        <v>0</v>
      </c>
      <c r="BO171" t="s">
        <v>247</v>
      </c>
      <c r="BP171">
        <v>1</v>
      </c>
      <c r="BQ171">
        <v>30</v>
      </c>
      <c r="BR171">
        <v>0</v>
      </c>
      <c r="BS171">
        <v>1</v>
      </c>
      <c r="BT171">
        <v>1</v>
      </c>
      <c r="BU171">
        <v>1</v>
      </c>
      <c r="BV171">
        <v>1</v>
      </c>
      <c r="BW171">
        <v>1</v>
      </c>
      <c r="BX171">
        <v>1</v>
      </c>
      <c r="BY171" t="s">
        <v>3</v>
      </c>
      <c r="BZ171">
        <v>0</v>
      </c>
      <c r="CA171">
        <v>0</v>
      </c>
      <c r="CE171">
        <v>30</v>
      </c>
      <c r="CF171">
        <v>0</v>
      </c>
      <c r="CG171">
        <v>0</v>
      </c>
      <c r="CM171">
        <v>0</v>
      </c>
      <c r="CN171" t="s">
        <v>3</v>
      </c>
      <c r="CO171">
        <v>0</v>
      </c>
      <c r="CP171">
        <f t="shared" si="148"/>
        <v>818.62</v>
      </c>
      <c r="CQ171">
        <f t="shared" si="149"/>
        <v>106.59</v>
      </c>
      <c r="CR171">
        <f t="shared" si="150"/>
        <v>0</v>
      </c>
      <c r="CS171">
        <f t="shared" si="151"/>
        <v>0</v>
      </c>
      <c r="CT171">
        <f t="shared" si="152"/>
        <v>0</v>
      </c>
      <c r="CU171">
        <f t="shared" si="153"/>
        <v>0</v>
      </c>
      <c r="CV171">
        <f t="shared" si="154"/>
        <v>0</v>
      </c>
      <c r="CW171">
        <f t="shared" si="155"/>
        <v>0</v>
      </c>
      <c r="CX171">
        <f t="shared" si="156"/>
        <v>0</v>
      </c>
      <c r="CY171">
        <f>S171*(BZ171/100)</f>
        <v>0</v>
      </c>
      <c r="CZ171">
        <f>S171*(CA171/100)</f>
        <v>0</v>
      </c>
      <c r="DC171" t="s">
        <v>3</v>
      </c>
      <c r="DD171" t="s">
        <v>3</v>
      </c>
      <c r="DE171" t="s">
        <v>3</v>
      </c>
      <c r="DF171" t="s">
        <v>3</v>
      </c>
      <c r="DG171" t="s">
        <v>3</v>
      </c>
      <c r="DH171" t="s">
        <v>3</v>
      </c>
      <c r="DI171" t="s">
        <v>3</v>
      </c>
      <c r="DJ171" t="s">
        <v>3</v>
      </c>
      <c r="DK171" t="s">
        <v>3</v>
      </c>
      <c r="DL171" t="s">
        <v>3</v>
      </c>
      <c r="DM171" t="s">
        <v>3</v>
      </c>
      <c r="DN171">
        <v>187</v>
      </c>
      <c r="DO171">
        <v>101</v>
      </c>
      <c r="DP171">
        <v>1</v>
      </c>
      <c r="DQ171">
        <v>1</v>
      </c>
      <c r="DU171">
        <v>1009</v>
      </c>
      <c r="DV171" t="s">
        <v>249</v>
      </c>
      <c r="DW171" t="s">
        <v>249</v>
      </c>
      <c r="DX171">
        <v>1</v>
      </c>
      <c r="EE171">
        <v>45706755</v>
      </c>
      <c r="EF171">
        <v>30</v>
      </c>
      <c r="EG171" t="s">
        <v>58</v>
      </c>
      <c r="EH171">
        <v>0</v>
      </c>
      <c r="EI171" t="s">
        <v>3</v>
      </c>
      <c r="EJ171">
        <v>1</v>
      </c>
      <c r="EK171">
        <v>295</v>
      </c>
      <c r="EL171" t="s">
        <v>231</v>
      </c>
      <c r="EM171" t="s">
        <v>232</v>
      </c>
      <c r="EO171" t="s">
        <v>3</v>
      </c>
      <c r="EQ171">
        <v>0</v>
      </c>
      <c r="ER171">
        <v>57.93</v>
      </c>
      <c r="ES171">
        <v>57.93</v>
      </c>
      <c r="ET171">
        <v>0</v>
      </c>
      <c r="EU171">
        <v>0</v>
      </c>
      <c r="EV171">
        <v>0</v>
      </c>
      <c r="EW171">
        <v>0</v>
      </c>
      <c r="EX171">
        <v>0</v>
      </c>
      <c r="FQ171">
        <v>0</v>
      </c>
      <c r="FR171">
        <f t="shared" si="157"/>
        <v>0</v>
      </c>
      <c r="FS171">
        <v>0</v>
      </c>
      <c r="FX171">
        <v>187</v>
      </c>
      <c r="FY171">
        <v>101</v>
      </c>
      <c r="GA171" t="s">
        <v>3</v>
      </c>
      <c r="GD171">
        <v>0</v>
      </c>
      <c r="GF171">
        <v>735025367</v>
      </c>
      <c r="GG171">
        <v>2</v>
      </c>
      <c r="GH171">
        <v>1</v>
      </c>
      <c r="GI171">
        <v>2</v>
      </c>
      <c r="GJ171">
        <v>0</v>
      </c>
      <c r="GK171">
        <f>ROUND(R171*(S12)/100,2)</f>
        <v>0</v>
      </c>
      <c r="GL171">
        <f t="shared" si="158"/>
        <v>0</v>
      </c>
      <c r="GM171">
        <f t="shared" si="166"/>
        <v>818.62</v>
      </c>
      <c r="GN171">
        <f t="shared" si="167"/>
        <v>818.62</v>
      </c>
      <c r="GO171">
        <f t="shared" si="168"/>
        <v>0</v>
      </c>
      <c r="GP171">
        <f t="shared" si="169"/>
        <v>0</v>
      </c>
      <c r="GR171">
        <v>0</v>
      </c>
      <c r="GS171">
        <v>0</v>
      </c>
      <c r="GT171">
        <v>0</v>
      </c>
      <c r="GU171" t="s">
        <v>3</v>
      </c>
      <c r="GV171">
        <f t="shared" si="163"/>
        <v>0</v>
      </c>
      <c r="GW171">
        <v>1</v>
      </c>
      <c r="GX171">
        <f t="shared" si="164"/>
        <v>0</v>
      </c>
      <c r="HA171">
        <v>0</v>
      </c>
      <c r="HB171">
        <v>0</v>
      </c>
      <c r="HC171">
        <f t="shared" si="165"/>
        <v>0</v>
      </c>
      <c r="HE171" t="s">
        <v>3</v>
      </c>
      <c r="HF171" t="s">
        <v>3</v>
      </c>
      <c r="IK171">
        <v>0</v>
      </c>
    </row>
    <row r="173" spans="1:255" x14ac:dyDescent="0.2">
      <c r="A173" s="3">
        <v>51</v>
      </c>
      <c r="B173" s="3">
        <f>B142</f>
        <v>1</v>
      </c>
      <c r="C173" s="3">
        <f>A142</f>
        <v>4</v>
      </c>
      <c r="D173" s="3">
        <f>ROW(A142)</f>
        <v>142</v>
      </c>
      <c r="E173" s="3"/>
      <c r="F173" s="3" t="str">
        <f>IF(F142&lt;&gt;"",F142,"")</f>
        <v>Новый раздел</v>
      </c>
      <c r="G173" s="3" t="str">
        <f>IF(G142&lt;&gt;"",G142,"")</f>
        <v>Устройство газона 15 см</v>
      </c>
      <c r="H173" s="3">
        <v>0</v>
      </c>
      <c r="I173" s="3"/>
      <c r="J173" s="3"/>
      <c r="K173" s="3"/>
      <c r="L173" s="3"/>
      <c r="M173" s="3"/>
      <c r="N173" s="3"/>
      <c r="O173" s="3">
        <f t="shared" ref="O173:T173" si="170">ROUND(AB173,2)</f>
        <v>8353.16</v>
      </c>
      <c r="P173" s="3">
        <f t="shared" si="170"/>
        <v>4809.63</v>
      </c>
      <c r="Q173" s="3">
        <f t="shared" si="170"/>
        <v>2794.92</v>
      </c>
      <c r="R173" s="3">
        <f t="shared" si="170"/>
        <v>38.79</v>
      </c>
      <c r="S173" s="3">
        <f t="shared" si="170"/>
        <v>748.61</v>
      </c>
      <c r="T173" s="3">
        <f t="shared" si="170"/>
        <v>0</v>
      </c>
      <c r="U173" s="3">
        <f>AH173</f>
        <v>71.133052800000002</v>
      </c>
      <c r="V173" s="3">
        <f>AI173</f>
        <v>0</v>
      </c>
      <c r="W173" s="3">
        <f>ROUND(AJ173,2)</f>
        <v>0</v>
      </c>
      <c r="X173" s="3">
        <f>ROUND(AK173,2)</f>
        <v>1371.09</v>
      </c>
      <c r="Y173" s="3">
        <f>ROUND(AL173,2)</f>
        <v>747.68</v>
      </c>
      <c r="Z173" s="3"/>
      <c r="AA173" s="3"/>
      <c r="AB173" s="3">
        <f>ROUND(SUMIF(AA146:AA171,"=45748053",O146:O171),2)</f>
        <v>8353.16</v>
      </c>
      <c r="AC173" s="3">
        <f>ROUND(SUMIF(AA146:AA171,"=45748053",P146:P171),2)</f>
        <v>4809.63</v>
      </c>
      <c r="AD173" s="3">
        <f>ROUND(SUMIF(AA146:AA171,"=45748053",Q146:Q171),2)</f>
        <v>2794.92</v>
      </c>
      <c r="AE173" s="3">
        <f>ROUND(SUMIF(AA146:AA171,"=45748053",R146:R171),2)</f>
        <v>38.79</v>
      </c>
      <c r="AF173" s="3">
        <f>ROUND(SUMIF(AA146:AA171,"=45748053",S146:S171),2)</f>
        <v>748.61</v>
      </c>
      <c r="AG173" s="3">
        <f>ROUND(SUMIF(AA146:AA171,"=45748053",T146:T171),2)</f>
        <v>0</v>
      </c>
      <c r="AH173" s="3">
        <f>SUMIF(AA146:AA171,"=45748053",U146:U171)</f>
        <v>71.133052800000002</v>
      </c>
      <c r="AI173" s="3">
        <f>SUMIF(AA146:AA171,"=45748053",V146:V171)</f>
        <v>0</v>
      </c>
      <c r="AJ173" s="3">
        <f>ROUND(SUMIF(AA146:AA171,"=45748053",W146:W171),2)</f>
        <v>0</v>
      </c>
      <c r="AK173" s="3">
        <f>ROUND(SUMIF(AA146:AA171,"=45748053",X146:X171),2)</f>
        <v>1371.09</v>
      </c>
      <c r="AL173" s="3">
        <f>ROUND(SUMIF(AA146:AA171,"=45748053",Y146:Y171),2)</f>
        <v>747.68</v>
      </c>
      <c r="AM173" s="3"/>
      <c r="AN173" s="3"/>
      <c r="AO173" s="3">
        <f t="shared" ref="AO173:BD173" si="171">ROUND(BX173,2)</f>
        <v>0</v>
      </c>
      <c r="AP173" s="3">
        <f t="shared" si="171"/>
        <v>0</v>
      </c>
      <c r="AQ173" s="3">
        <f t="shared" si="171"/>
        <v>0</v>
      </c>
      <c r="AR173" s="3">
        <f t="shared" si="171"/>
        <v>10539.82</v>
      </c>
      <c r="AS173" s="3">
        <f t="shared" si="171"/>
        <v>7983.12</v>
      </c>
      <c r="AT173" s="3">
        <f t="shared" si="171"/>
        <v>0</v>
      </c>
      <c r="AU173" s="3">
        <f t="shared" si="171"/>
        <v>2556.6999999999998</v>
      </c>
      <c r="AV173" s="3">
        <f t="shared" si="171"/>
        <v>4809.63</v>
      </c>
      <c r="AW173" s="3">
        <f t="shared" si="171"/>
        <v>4809.63</v>
      </c>
      <c r="AX173" s="3">
        <f t="shared" si="171"/>
        <v>0</v>
      </c>
      <c r="AY173" s="3">
        <f t="shared" si="171"/>
        <v>4809.63</v>
      </c>
      <c r="AZ173" s="3">
        <f t="shared" si="171"/>
        <v>0</v>
      </c>
      <c r="BA173" s="3">
        <f t="shared" si="171"/>
        <v>0</v>
      </c>
      <c r="BB173" s="3">
        <f t="shared" si="171"/>
        <v>0</v>
      </c>
      <c r="BC173" s="3">
        <f t="shared" si="171"/>
        <v>0</v>
      </c>
      <c r="BD173" s="3">
        <f t="shared" si="171"/>
        <v>0</v>
      </c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>
        <f>ROUND(SUMIF(AA146:AA171,"=45748053",FQ146:FQ171),2)</f>
        <v>0</v>
      </c>
      <c r="BY173" s="3">
        <f>ROUND(SUMIF(AA146:AA171,"=45748053",FR146:FR171),2)</f>
        <v>0</v>
      </c>
      <c r="BZ173" s="3">
        <f>ROUND(SUMIF(AA146:AA171,"=45748053",GL146:GL171),2)</f>
        <v>0</v>
      </c>
      <c r="CA173" s="3">
        <f>ROUND(SUMIF(AA146:AA171,"=45748053",GM146:GM171),2)</f>
        <v>10539.82</v>
      </c>
      <c r="CB173" s="3">
        <f>ROUND(SUMIF(AA146:AA171,"=45748053",GN146:GN171),2)</f>
        <v>7983.12</v>
      </c>
      <c r="CC173" s="3">
        <f>ROUND(SUMIF(AA146:AA171,"=45748053",GO146:GO171),2)</f>
        <v>0</v>
      </c>
      <c r="CD173" s="3">
        <f>ROUND(SUMIF(AA146:AA171,"=45748053",GP146:GP171),2)</f>
        <v>2556.6999999999998</v>
      </c>
      <c r="CE173" s="3">
        <f>AC173-BX173</f>
        <v>4809.63</v>
      </c>
      <c r="CF173" s="3">
        <f>AC173-BY173</f>
        <v>4809.63</v>
      </c>
      <c r="CG173" s="3">
        <f>BX173-BZ173</f>
        <v>0</v>
      </c>
      <c r="CH173" s="3">
        <f>AC173-BX173-BY173+BZ173</f>
        <v>4809.63</v>
      </c>
      <c r="CI173" s="3">
        <f>BY173-BZ173</f>
        <v>0</v>
      </c>
      <c r="CJ173" s="3">
        <f>ROUND(SUMIF(AA146:AA171,"=45748053",GX146:GX171),2)</f>
        <v>0</v>
      </c>
      <c r="CK173" s="3">
        <f>ROUND(SUMIF(AA146:AA171,"=45748053",GY146:GY171),2)</f>
        <v>0</v>
      </c>
      <c r="CL173" s="3">
        <f>ROUND(SUMIF(AA146:AA171,"=45748053",GZ146:GZ171),2)</f>
        <v>0</v>
      </c>
      <c r="CM173" s="3">
        <f>ROUND(SUMIF(AA146:AA171,"=45748053",HD146:HD171),2)</f>
        <v>0</v>
      </c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4">
        <f t="shared" ref="DG173:DL173" si="172">ROUND(DT173,2)</f>
        <v>75705.94</v>
      </c>
      <c r="DH173" s="4">
        <f t="shared" si="172"/>
        <v>28434.62</v>
      </c>
      <c r="DI173" s="4">
        <f t="shared" si="172"/>
        <v>28458.76</v>
      </c>
      <c r="DJ173" s="4">
        <f t="shared" si="172"/>
        <v>972.02</v>
      </c>
      <c r="DK173" s="4">
        <f t="shared" si="172"/>
        <v>18812.560000000001</v>
      </c>
      <c r="DL173" s="4">
        <f t="shared" si="172"/>
        <v>0</v>
      </c>
      <c r="DM173" s="4">
        <f>DZ173</f>
        <v>71.133052800000002</v>
      </c>
      <c r="DN173" s="4">
        <f>EA173</f>
        <v>0</v>
      </c>
      <c r="DO173" s="4">
        <f>ROUND(EB173,2)</f>
        <v>0</v>
      </c>
      <c r="DP173" s="4">
        <f>ROUND(EC173,2)</f>
        <v>19044.63</v>
      </c>
      <c r="DQ173" s="4">
        <f>ROUND(ED173,2)</f>
        <v>8798.8700000000008</v>
      </c>
      <c r="DR173" s="4"/>
      <c r="DS173" s="4"/>
      <c r="DT173" s="4">
        <f>ROUND(SUMIF(AA146:AA171,"=45747932",O146:O171),2)</f>
        <v>75705.94</v>
      </c>
      <c r="DU173" s="4">
        <f>ROUND(SUMIF(AA146:AA171,"=45747932",P146:P171),2)</f>
        <v>28434.62</v>
      </c>
      <c r="DV173" s="4">
        <f>ROUND(SUMIF(AA146:AA171,"=45747932",Q146:Q171),2)</f>
        <v>28458.76</v>
      </c>
      <c r="DW173" s="4">
        <f>ROUND(SUMIF(AA146:AA171,"=45747932",R146:R171),2)</f>
        <v>972.02</v>
      </c>
      <c r="DX173" s="4">
        <f>ROUND(SUMIF(AA146:AA171,"=45747932",S146:S171),2)</f>
        <v>18812.560000000001</v>
      </c>
      <c r="DY173" s="4">
        <f>ROUND(SUMIF(AA146:AA171,"=45747932",T146:T171),2)</f>
        <v>0</v>
      </c>
      <c r="DZ173" s="4">
        <f>SUMIF(AA146:AA171,"=45747932",U146:U171)</f>
        <v>71.133052800000002</v>
      </c>
      <c r="EA173" s="4">
        <f>SUMIF(AA146:AA171,"=45747932",V146:V171)</f>
        <v>0</v>
      </c>
      <c r="EB173" s="4">
        <f>ROUND(SUMIF(AA146:AA171,"=45747932",W146:W171),2)</f>
        <v>0</v>
      </c>
      <c r="EC173" s="4">
        <f>ROUND(SUMIF(AA146:AA171,"=45747932",X146:X171),2)</f>
        <v>19044.63</v>
      </c>
      <c r="ED173" s="4">
        <f>ROUND(SUMIF(AA146:AA171,"=45747932",Y146:Y171),2)</f>
        <v>8798.8700000000008</v>
      </c>
      <c r="EE173" s="4"/>
      <c r="EF173" s="4"/>
      <c r="EG173" s="4">
        <f t="shared" ref="EG173:EV173" si="173">ROUND(FP173,2)</f>
        <v>0</v>
      </c>
      <c r="EH173" s="4">
        <f t="shared" si="173"/>
        <v>0</v>
      </c>
      <c r="EI173" s="4">
        <f t="shared" si="173"/>
        <v>0</v>
      </c>
      <c r="EJ173" s="4">
        <f t="shared" si="173"/>
        <v>105075.51</v>
      </c>
      <c r="EK173" s="4">
        <f t="shared" si="173"/>
        <v>78972.490000000005</v>
      </c>
      <c r="EL173" s="4">
        <f t="shared" si="173"/>
        <v>0</v>
      </c>
      <c r="EM173" s="4">
        <f t="shared" si="173"/>
        <v>26103.02</v>
      </c>
      <c r="EN173" s="4">
        <f t="shared" si="173"/>
        <v>28434.62</v>
      </c>
      <c r="EO173" s="4">
        <f t="shared" si="173"/>
        <v>28434.62</v>
      </c>
      <c r="EP173" s="4">
        <f t="shared" si="173"/>
        <v>0</v>
      </c>
      <c r="EQ173" s="4">
        <f t="shared" si="173"/>
        <v>28434.62</v>
      </c>
      <c r="ER173" s="4">
        <f t="shared" si="173"/>
        <v>0</v>
      </c>
      <c r="ES173" s="4">
        <f t="shared" si="173"/>
        <v>0</v>
      </c>
      <c r="ET173" s="4">
        <f t="shared" si="173"/>
        <v>0</v>
      </c>
      <c r="EU173" s="4">
        <f t="shared" si="173"/>
        <v>0</v>
      </c>
      <c r="EV173" s="4">
        <f t="shared" si="173"/>
        <v>0</v>
      </c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>
        <f>ROUND(SUMIF(AA146:AA171,"=45747932",FQ146:FQ171),2)</f>
        <v>0</v>
      </c>
      <c r="FQ173" s="4">
        <f>ROUND(SUMIF(AA146:AA171,"=45747932",FR146:FR171),2)</f>
        <v>0</v>
      </c>
      <c r="FR173" s="4">
        <f>ROUND(SUMIF(AA146:AA171,"=45747932",GL146:GL171),2)</f>
        <v>0</v>
      </c>
      <c r="FS173" s="4">
        <f>ROUND(SUMIF(AA146:AA171,"=45747932",GM146:GM171),2)</f>
        <v>105075.51</v>
      </c>
      <c r="FT173" s="4">
        <f>ROUND(SUMIF(AA146:AA171,"=45747932",GN146:GN171),2)</f>
        <v>78972.490000000005</v>
      </c>
      <c r="FU173" s="4">
        <f>ROUND(SUMIF(AA146:AA171,"=45747932",GO146:GO171),2)</f>
        <v>0</v>
      </c>
      <c r="FV173" s="4">
        <f>ROUND(SUMIF(AA146:AA171,"=45747932",GP146:GP171),2)</f>
        <v>26103.02</v>
      </c>
      <c r="FW173" s="4">
        <f>DU173-FP173</f>
        <v>28434.62</v>
      </c>
      <c r="FX173" s="4">
        <f>DU173-FQ173</f>
        <v>28434.62</v>
      </c>
      <c r="FY173" s="4">
        <f>FP173-FR173</f>
        <v>0</v>
      </c>
      <c r="FZ173" s="4">
        <f>DU173-FP173-FQ173+FR173</f>
        <v>28434.62</v>
      </c>
      <c r="GA173" s="4">
        <f>FQ173-FR173</f>
        <v>0</v>
      </c>
      <c r="GB173" s="4">
        <f>ROUND(SUMIF(AA146:AA171,"=45747932",GX146:GX171),2)</f>
        <v>0</v>
      </c>
      <c r="GC173" s="4">
        <f>ROUND(SUMIF(AA146:AA171,"=45747932",GY146:GY171),2)</f>
        <v>0</v>
      </c>
      <c r="GD173" s="4">
        <f>ROUND(SUMIF(AA146:AA171,"=45747932",GZ146:GZ171),2)</f>
        <v>0</v>
      </c>
      <c r="GE173" s="4">
        <f>ROUND(SUMIF(AA146:AA171,"=45747932",HD146:HD171),2)</f>
        <v>0</v>
      </c>
      <c r="GF173" s="4"/>
      <c r="GG173" s="4"/>
      <c r="GH173" s="4"/>
      <c r="GI173" s="4"/>
      <c r="GJ173" s="4"/>
      <c r="GK173" s="4"/>
      <c r="GL173" s="4"/>
      <c r="GM173" s="4"/>
      <c r="GN173" s="4"/>
      <c r="GO173" s="4"/>
      <c r="GP173" s="4"/>
      <c r="GQ173" s="4"/>
      <c r="GR173" s="4"/>
      <c r="GS173" s="4"/>
      <c r="GT173" s="4"/>
      <c r="GU173" s="4"/>
      <c r="GV173" s="4"/>
      <c r="GW173" s="4"/>
      <c r="GX173" s="4">
        <v>0</v>
      </c>
    </row>
    <row r="175" spans="1:255" x14ac:dyDescent="0.2">
      <c r="A175" s="5">
        <v>50</v>
      </c>
      <c r="B175" s="5">
        <v>0</v>
      </c>
      <c r="C175" s="5">
        <v>0</v>
      </c>
      <c r="D175" s="5">
        <v>1</v>
      </c>
      <c r="E175" s="5">
        <v>201</v>
      </c>
      <c r="F175" s="5">
        <f>ROUND(Source!O173,O175)</f>
        <v>8353.16</v>
      </c>
      <c r="G175" s="5" t="s">
        <v>73</v>
      </c>
      <c r="H175" s="5" t="s">
        <v>74</v>
      </c>
      <c r="I175" s="5"/>
      <c r="J175" s="5"/>
      <c r="K175" s="5">
        <v>201</v>
      </c>
      <c r="L175" s="5">
        <v>1</v>
      </c>
      <c r="M175" s="5">
        <v>3</v>
      </c>
      <c r="N175" s="5" t="s">
        <v>3</v>
      </c>
      <c r="O175" s="5">
        <v>2</v>
      </c>
      <c r="P175" s="5">
        <f>ROUND(Source!DG173,O175)</f>
        <v>75705.94</v>
      </c>
      <c r="Q175" s="5"/>
      <c r="R175" s="5"/>
      <c r="S175" s="5"/>
      <c r="T175" s="5"/>
      <c r="U175" s="5"/>
      <c r="V175" s="5"/>
      <c r="W175" s="5"/>
    </row>
    <row r="176" spans="1:255" x14ac:dyDescent="0.2">
      <c r="A176" s="5">
        <v>50</v>
      </c>
      <c r="B176" s="5">
        <v>0</v>
      </c>
      <c r="C176" s="5">
        <v>0</v>
      </c>
      <c r="D176" s="5">
        <v>1</v>
      </c>
      <c r="E176" s="5">
        <v>202</v>
      </c>
      <c r="F176" s="5">
        <f>ROUND(Source!P173,O176)</f>
        <v>4809.63</v>
      </c>
      <c r="G176" s="5" t="s">
        <v>75</v>
      </c>
      <c r="H176" s="5" t="s">
        <v>76</v>
      </c>
      <c r="I176" s="5"/>
      <c r="J176" s="5"/>
      <c r="K176" s="5">
        <v>202</v>
      </c>
      <c r="L176" s="5">
        <v>2</v>
      </c>
      <c r="M176" s="5">
        <v>3</v>
      </c>
      <c r="N176" s="5" t="s">
        <v>3</v>
      </c>
      <c r="O176" s="5">
        <v>2</v>
      </c>
      <c r="P176" s="5">
        <f>ROUND(Source!DH173,O176)</f>
        <v>28434.62</v>
      </c>
      <c r="Q176" s="5"/>
      <c r="R176" s="5"/>
      <c r="S176" s="5"/>
      <c r="T176" s="5"/>
      <c r="U176" s="5"/>
      <c r="V176" s="5"/>
      <c r="W176" s="5"/>
    </row>
    <row r="177" spans="1:23" x14ac:dyDescent="0.2">
      <c r="A177" s="5">
        <v>50</v>
      </c>
      <c r="B177" s="5">
        <v>0</v>
      </c>
      <c r="C177" s="5">
        <v>0</v>
      </c>
      <c r="D177" s="5">
        <v>1</v>
      </c>
      <c r="E177" s="5">
        <v>222</v>
      </c>
      <c r="F177" s="5">
        <f>ROUND(Source!AO173,O177)</f>
        <v>0</v>
      </c>
      <c r="G177" s="5" t="s">
        <v>77</v>
      </c>
      <c r="H177" s="5" t="s">
        <v>78</v>
      </c>
      <c r="I177" s="5"/>
      <c r="J177" s="5"/>
      <c r="K177" s="5">
        <v>222</v>
      </c>
      <c r="L177" s="5">
        <v>3</v>
      </c>
      <c r="M177" s="5">
        <v>3</v>
      </c>
      <c r="N177" s="5" t="s">
        <v>3</v>
      </c>
      <c r="O177" s="5">
        <v>2</v>
      </c>
      <c r="P177" s="5">
        <f>ROUND(Source!EG173,O177)</f>
        <v>0</v>
      </c>
      <c r="Q177" s="5"/>
      <c r="R177" s="5"/>
      <c r="S177" s="5"/>
      <c r="T177" s="5"/>
      <c r="U177" s="5"/>
      <c r="V177" s="5"/>
      <c r="W177" s="5"/>
    </row>
    <row r="178" spans="1:23" x14ac:dyDescent="0.2">
      <c r="A178" s="5">
        <v>50</v>
      </c>
      <c r="B178" s="5">
        <v>0</v>
      </c>
      <c r="C178" s="5">
        <v>0</v>
      </c>
      <c r="D178" s="5">
        <v>1</v>
      </c>
      <c r="E178" s="5">
        <v>225</v>
      </c>
      <c r="F178" s="5">
        <f>ROUND(Source!AV173,O178)</f>
        <v>4809.63</v>
      </c>
      <c r="G178" s="5" t="s">
        <v>79</v>
      </c>
      <c r="H178" s="5" t="s">
        <v>80</v>
      </c>
      <c r="I178" s="5"/>
      <c r="J178" s="5"/>
      <c r="K178" s="5">
        <v>225</v>
      </c>
      <c r="L178" s="5">
        <v>4</v>
      </c>
      <c r="M178" s="5">
        <v>3</v>
      </c>
      <c r="N178" s="5" t="s">
        <v>3</v>
      </c>
      <c r="O178" s="5">
        <v>2</v>
      </c>
      <c r="P178" s="5">
        <f>ROUND(Source!EN173,O178)</f>
        <v>28434.62</v>
      </c>
      <c r="Q178" s="5"/>
      <c r="R178" s="5"/>
      <c r="S178" s="5"/>
      <c r="T178" s="5"/>
      <c r="U178" s="5"/>
      <c r="V178" s="5"/>
      <c r="W178" s="5"/>
    </row>
    <row r="179" spans="1:23" x14ac:dyDescent="0.2">
      <c r="A179" s="5">
        <v>50</v>
      </c>
      <c r="B179" s="5">
        <v>0</v>
      </c>
      <c r="C179" s="5">
        <v>0</v>
      </c>
      <c r="D179" s="5">
        <v>1</v>
      </c>
      <c r="E179" s="5">
        <v>226</v>
      </c>
      <c r="F179" s="5">
        <f>ROUND(Source!AW173,O179)</f>
        <v>4809.63</v>
      </c>
      <c r="G179" s="5" t="s">
        <v>81</v>
      </c>
      <c r="H179" s="5" t="s">
        <v>82</v>
      </c>
      <c r="I179" s="5"/>
      <c r="J179" s="5"/>
      <c r="K179" s="5">
        <v>226</v>
      </c>
      <c r="L179" s="5">
        <v>5</v>
      </c>
      <c r="M179" s="5">
        <v>3</v>
      </c>
      <c r="N179" s="5" t="s">
        <v>3</v>
      </c>
      <c r="O179" s="5">
        <v>2</v>
      </c>
      <c r="P179" s="5">
        <f>ROUND(Source!EO173,O179)</f>
        <v>28434.62</v>
      </c>
      <c r="Q179" s="5"/>
      <c r="R179" s="5"/>
      <c r="S179" s="5"/>
      <c r="T179" s="5"/>
      <c r="U179" s="5"/>
      <c r="V179" s="5"/>
      <c r="W179" s="5"/>
    </row>
    <row r="180" spans="1:23" x14ac:dyDescent="0.2">
      <c r="A180" s="5">
        <v>50</v>
      </c>
      <c r="B180" s="5">
        <v>0</v>
      </c>
      <c r="C180" s="5">
        <v>0</v>
      </c>
      <c r="D180" s="5">
        <v>1</v>
      </c>
      <c r="E180" s="5">
        <v>227</v>
      </c>
      <c r="F180" s="5">
        <f>ROUND(Source!AX173,O180)</f>
        <v>0</v>
      </c>
      <c r="G180" s="5" t="s">
        <v>83</v>
      </c>
      <c r="H180" s="5" t="s">
        <v>84</v>
      </c>
      <c r="I180" s="5"/>
      <c r="J180" s="5"/>
      <c r="K180" s="5">
        <v>227</v>
      </c>
      <c r="L180" s="5">
        <v>6</v>
      </c>
      <c r="M180" s="5">
        <v>3</v>
      </c>
      <c r="N180" s="5" t="s">
        <v>3</v>
      </c>
      <c r="O180" s="5">
        <v>2</v>
      </c>
      <c r="P180" s="5">
        <f>ROUND(Source!EP173,O180)</f>
        <v>0</v>
      </c>
      <c r="Q180" s="5"/>
      <c r="R180" s="5"/>
      <c r="S180" s="5"/>
      <c r="T180" s="5"/>
      <c r="U180" s="5"/>
      <c r="V180" s="5"/>
      <c r="W180" s="5"/>
    </row>
    <row r="181" spans="1:23" x14ac:dyDescent="0.2">
      <c r="A181" s="5">
        <v>50</v>
      </c>
      <c r="B181" s="5">
        <v>0</v>
      </c>
      <c r="C181" s="5">
        <v>0</v>
      </c>
      <c r="D181" s="5">
        <v>1</v>
      </c>
      <c r="E181" s="5">
        <v>228</v>
      </c>
      <c r="F181" s="5">
        <f>ROUND(Source!AY173,O181)</f>
        <v>4809.63</v>
      </c>
      <c r="G181" s="5" t="s">
        <v>85</v>
      </c>
      <c r="H181" s="5" t="s">
        <v>86</v>
      </c>
      <c r="I181" s="5"/>
      <c r="J181" s="5"/>
      <c r="K181" s="5">
        <v>228</v>
      </c>
      <c r="L181" s="5">
        <v>7</v>
      </c>
      <c r="M181" s="5">
        <v>3</v>
      </c>
      <c r="N181" s="5" t="s">
        <v>3</v>
      </c>
      <c r="O181" s="5">
        <v>2</v>
      </c>
      <c r="P181" s="5">
        <f>ROUND(Source!EQ173,O181)</f>
        <v>28434.62</v>
      </c>
      <c r="Q181" s="5"/>
      <c r="R181" s="5"/>
      <c r="S181" s="5"/>
      <c r="T181" s="5"/>
      <c r="U181" s="5"/>
      <c r="V181" s="5"/>
      <c r="W181" s="5"/>
    </row>
    <row r="182" spans="1:23" x14ac:dyDescent="0.2">
      <c r="A182" s="5">
        <v>50</v>
      </c>
      <c r="B182" s="5">
        <v>0</v>
      </c>
      <c r="C182" s="5">
        <v>0</v>
      </c>
      <c r="D182" s="5">
        <v>1</v>
      </c>
      <c r="E182" s="5">
        <v>216</v>
      </c>
      <c r="F182" s="5">
        <f>ROUND(Source!AP173,O182)</f>
        <v>0</v>
      </c>
      <c r="G182" s="5" t="s">
        <v>87</v>
      </c>
      <c r="H182" s="5" t="s">
        <v>88</v>
      </c>
      <c r="I182" s="5"/>
      <c r="J182" s="5"/>
      <c r="K182" s="5">
        <v>216</v>
      </c>
      <c r="L182" s="5">
        <v>8</v>
      </c>
      <c r="M182" s="5">
        <v>3</v>
      </c>
      <c r="N182" s="5" t="s">
        <v>3</v>
      </c>
      <c r="O182" s="5">
        <v>2</v>
      </c>
      <c r="P182" s="5">
        <f>ROUND(Source!EH173,O182)</f>
        <v>0</v>
      </c>
      <c r="Q182" s="5"/>
      <c r="R182" s="5"/>
      <c r="S182" s="5"/>
      <c r="T182" s="5"/>
      <c r="U182" s="5"/>
      <c r="V182" s="5"/>
      <c r="W182" s="5"/>
    </row>
    <row r="183" spans="1:23" x14ac:dyDescent="0.2">
      <c r="A183" s="5">
        <v>50</v>
      </c>
      <c r="B183" s="5">
        <v>0</v>
      </c>
      <c r="C183" s="5">
        <v>0</v>
      </c>
      <c r="D183" s="5">
        <v>1</v>
      </c>
      <c r="E183" s="5">
        <v>223</v>
      </c>
      <c r="F183" s="5">
        <f>ROUND(Source!AQ173,O183)</f>
        <v>0</v>
      </c>
      <c r="G183" s="5" t="s">
        <v>89</v>
      </c>
      <c r="H183" s="5" t="s">
        <v>90</v>
      </c>
      <c r="I183" s="5"/>
      <c r="J183" s="5"/>
      <c r="K183" s="5">
        <v>223</v>
      </c>
      <c r="L183" s="5">
        <v>9</v>
      </c>
      <c r="M183" s="5">
        <v>3</v>
      </c>
      <c r="N183" s="5" t="s">
        <v>3</v>
      </c>
      <c r="O183" s="5">
        <v>2</v>
      </c>
      <c r="P183" s="5">
        <f>ROUND(Source!EI173,O183)</f>
        <v>0</v>
      </c>
      <c r="Q183" s="5"/>
      <c r="R183" s="5"/>
      <c r="S183" s="5"/>
      <c r="T183" s="5"/>
      <c r="U183" s="5"/>
      <c r="V183" s="5"/>
      <c r="W183" s="5"/>
    </row>
    <row r="184" spans="1:23" x14ac:dyDescent="0.2">
      <c r="A184" s="5">
        <v>50</v>
      </c>
      <c r="B184" s="5">
        <v>0</v>
      </c>
      <c r="C184" s="5">
        <v>0</v>
      </c>
      <c r="D184" s="5">
        <v>1</v>
      </c>
      <c r="E184" s="5">
        <v>229</v>
      </c>
      <c r="F184" s="5">
        <f>ROUND(Source!AZ173,O184)</f>
        <v>0</v>
      </c>
      <c r="G184" s="5" t="s">
        <v>91</v>
      </c>
      <c r="H184" s="5" t="s">
        <v>92</v>
      </c>
      <c r="I184" s="5"/>
      <c r="J184" s="5"/>
      <c r="K184" s="5">
        <v>229</v>
      </c>
      <c r="L184" s="5">
        <v>10</v>
      </c>
      <c r="M184" s="5">
        <v>3</v>
      </c>
      <c r="N184" s="5" t="s">
        <v>3</v>
      </c>
      <c r="O184" s="5">
        <v>2</v>
      </c>
      <c r="P184" s="5">
        <f>ROUND(Source!ER173,O184)</f>
        <v>0</v>
      </c>
      <c r="Q184" s="5"/>
      <c r="R184" s="5"/>
      <c r="S184" s="5"/>
      <c r="T184" s="5"/>
      <c r="U184" s="5"/>
      <c r="V184" s="5"/>
      <c r="W184" s="5"/>
    </row>
    <row r="185" spans="1:23" x14ac:dyDescent="0.2">
      <c r="A185" s="5">
        <v>50</v>
      </c>
      <c r="B185" s="5">
        <v>0</v>
      </c>
      <c r="C185" s="5">
        <v>0</v>
      </c>
      <c r="D185" s="5">
        <v>1</v>
      </c>
      <c r="E185" s="5">
        <v>203</v>
      </c>
      <c r="F185" s="5">
        <f>ROUND(Source!Q173,O185)</f>
        <v>2794.92</v>
      </c>
      <c r="G185" s="5" t="s">
        <v>93</v>
      </c>
      <c r="H185" s="5" t="s">
        <v>94</v>
      </c>
      <c r="I185" s="5"/>
      <c r="J185" s="5"/>
      <c r="K185" s="5">
        <v>203</v>
      </c>
      <c r="L185" s="5">
        <v>11</v>
      </c>
      <c r="M185" s="5">
        <v>3</v>
      </c>
      <c r="N185" s="5" t="s">
        <v>3</v>
      </c>
      <c r="O185" s="5">
        <v>2</v>
      </c>
      <c r="P185" s="5">
        <f>ROUND(Source!DI173,O185)</f>
        <v>28458.76</v>
      </c>
      <c r="Q185" s="5"/>
      <c r="R185" s="5"/>
      <c r="S185" s="5"/>
      <c r="T185" s="5"/>
      <c r="U185" s="5"/>
      <c r="V185" s="5"/>
      <c r="W185" s="5"/>
    </row>
    <row r="186" spans="1:23" x14ac:dyDescent="0.2">
      <c r="A186" s="5">
        <v>50</v>
      </c>
      <c r="B186" s="5">
        <v>0</v>
      </c>
      <c r="C186" s="5">
        <v>0</v>
      </c>
      <c r="D186" s="5">
        <v>1</v>
      </c>
      <c r="E186" s="5">
        <v>231</v>
      </c>
      <c r="F186" s="5">
        <f>ROUND(Source!BB173,O186)</f>
        <v>0</v>
      </c>
      <c r="G186" s="5" t="s">
        <v>95</v>
      </c>
      <c r="H186" s="5" t="s">
        <v>96</v>
      </c>
      <c r="I186" s="5"/>
      <c r="J186" s="5"/>
      <c r="K186" s="5">
        <v>231</v>
      </c>
      <c r="L186" s="5">
        <v>12</v>
      </c>
      <c r="M186" s="5">
        <v>3</v>
      </c>
      <c r="N186" s="5" t="s">
        <v>3</v>
      </c>
      <c r="O186" s="5">
        <v>2</v>
      </c>
      <c r="P186" s="5">
        <f>ROUND(Source!ET173,O186)</f>
        <v>0</v>
      </c>
      <c r="Q186" s="5"/>
      <c r="R186" s="5"/>
      <c r="S186" s="5"/>
      <c r="T186" s="5"/>
      <c r="U186" s="5"/>
      <c r="V186" s="5"/>
      <c r="W186" s="5"/>
    </row>
    <row r="187" spans="1:23" x14ac:dyDescent="0.2">
      <c r="A187" s="5">
        <v>50</v>
      </c>
      <c r="B187" s="5">
        <v>0</v>
      </c>
      <c r="C187" s="5">
        <v>0</v>
      </c>
      <c r="D187" s="5">
        <v>1</v>
      </c>
      <c r="E187" s="5">
        <v>204</v>
      </c>
      <c r="F187" s="5">
        <f>ROUND(Source!R173,O187)</f>
        <v>38.79</v>
      </c>
      <c r="G187" s="5" t="s">
        <v>97</v>
      </c>
      <c r="H187" s="5" t="s">
        <v>98</v>
      </c>
      <c r="I187" s="5"/>
      <c r="J187" s="5"/>
      <c r="K187" s="5">
        <v>204</v>
      </c>
      <c r="L187" s="5">
        <v>13</v>
      </c>
      <c r="M187" s="5">
        <v>3</v>
      </c>
      <c r="N187" s="5" t="s">
        <v>3</v>
      </c>
      <c r="O187" s="5">
        <v>2</v>
      </c>
      <c r="P187" s="5">
        <f>ROUND(Source!DJ173,O187)</f>
        <v>972.02</v>
      </c>
      <c r="Q187" s="5"/>
      <c r="R187" s="5"/>
      <c r="S187" s="5"/>
      <c r="T187" s="5"/>
      <c r="U187" s="5"/>
      <c r="V187" s="5"/>
      <c r="W187" s="5"/>
    </row>
    <row r="188" spans="1:23" x14ac:dyDescent="0.2">
      <c r="A188" s="5">
        <v>50</v>
      </c>
      <c r="B188" s="5">
        <v>0</v>
      </c>
      <c r="C188" s="5">
        <v>0</v>
      </c>
      <c r="D188" s="5">
        <v>1</v>
      </c>
      <c r="E188" s="5">
        <v>205</v>
      </c>
      <c r="F188" s="5">
        <f>ROUND(Source!S173,O188)</f>
        <v>748.61</v>
      </c>
      <c r="G188" s="5" t="s">
        <v>99</v>
      </c>
      <c r="H188" s="5" t="s">
        <v>100</v>
      </c>
      <c r="I188" s="5"/>
      <c r="J188" s="5"/>
      <c r="K188" s="5">
        <v>205</v>
      </c>
      <c r="L188" s="5">
        <v>14</v>
      </c>
      <c r="M188" s="5">
        <v>3</v>
      </c>
      <c r="N188" s="5" t="s">
        <v>3</v>
      </c>
      <c r="O188" s="5">
        <v>2</v>
      </c>
      <c r="P188" s="5">
        <f>ROUND(Source!DK173,O188)</f>
        <v>18812.560000000001</v>
      </c>
      <c r="Q188" s="5"/>
      <c r="R188" s="5"/>
      <c r="S188" s="5"/>
      <c r="T188" s="5"/>
      <c r="U188" s="5"/>
      <c r="V188" s="5"/>
      <c r="W188" s="5"/>
    </row>
    <row r="189" spans="1:23" x14ac:dyDescent="0.2">
      <c r="A189" s="5">
        <v>50</v>
      </c>
      <c r="B189" s="5">
        <v>0</v>
      </c>
      <c r="C189" s="5">
        <v>0</v>
      </c>
      <c r="D189" s="5">
        <v>1</v>
      </c>
      <c r="E189" s="5">
        <v>232</v>
      </c>
      <c r="F189" s="5">
        <f>ROUND(Source!BC173,O189)</f>
        <v>0</v>
      </c>
      <c r="G189" s="5" t="s">
        <v>101</v>
      </c>
      <c r="H189" s="5" t="s">
        <v>102</v>
      </c>
      <c r="I189" s="5"/>
      <c r="J189" s="5"/>
      <c r="K189" s="5">
        <v>232</v>
      </c>
      <c r="L189" s="5">
        <v>15</v>
      </c>
      <c r="M189" s="5">
        <v>3</v>
      </c>
      <c r="N189" s="5" t="s">
        <v>3</v>
      </c>
      <c r="O189" s="5">
        <v>2</v>
      </c>
      <c r="P189" s="5">
        <f>ROUND(Source!EU173,O189)</f>
        <v>0</v>
      </c>
      <c r="Q189" s="5"/>
      <c r="R189" s="5"/>
      <c r="S189" s="5"/>
      <c r="T189" s="5"/>
      <c r="U189" s="5"/>
      <c r="V189" s="5"/>
      <c r="W189" s="5"/>
    </row>
    <row r="190" spans="1:23" x14ac:dyDescent="0.2">
      <c r="A190" s="5">
        <v>50</v>
      </c>
      <c r="B190" s="5">
        <v>0</v>
      </c>
      <c r="C190" s="5">
        <v>0</v>
      </c>
      <c r="D190" s="5">
        <v>1</v>
      </c>
      <c r="E190" s="5">
        <v>214</v>
      </c>
      <c r="F190" s="5">
        <f>ROUND(Source!AS173,O190)</f>
        <v>7983.12</v>
      </c>
      <c r="G190" s="5" t="s">
        <v>103</v>
      </c>
      <c r="H190" s="5" t="s">
        <v>104</v>
      </c>
      <c r="I190" s="5"/>
      <c r="J190" s="5"/>
      <c r="K190" s="5">
        <v>214</v>
      </c>
      <c r="L190" s="5">
        <v>16</v>
      </c>
      <c r="M190" s="5">
        <v>3</v>
      </c>
      <c r="N190" s="5" t="s">
        <v>3</v>
      </c>
      <c r="O190" s="5">
        <v>2</v>
      </c>
      <c r="P190" s="5">
        <f>ROUND(Source!EK173,O190)</f>
        <v>78972.490000000005</v>
      </c>
      <c r="Q190" s="5"/>
      <c r="R190" s="5"/>
      <c r="S190" s="5"/>
      <c r="T190" s="5"/>
      <c r="U190" s="5"/>
      <c r="V190" s="5"/>
      <c r="W190" s="5"/>
    </row>
    <row r="191" spans="1:23" x14ac:dyDescent="0.2">
      <c r="A191" s="5">
        <v>50</v>
      </c>
      <c r="B191" s="5">
        <v>0</v>
      </c>
      <c r="C191" s="5">
        <v>0</v>
      </c>
      <c r="D191" s="5">
        <v>1</v>
      </c>
      <c r="E191" s="5">
        <v>215</v>
      </c>
      <c r="F191" s="5">
        <f>ROUND(Source!AT173,O191)</f>
        <v>0</v>
      </c>
      <c r="G191" s="5" t="s">
        <v>105</v>
      </c>
      <c r="H191" s="5" t="s">
        <v>106</v>
      </c>
      <c r="I191" s="5"/>
      <c r="J191" s="5"/>
      <c r="K191" s="5">
        <v>215</v>
      </c>
      <c r="L191" s="5">
        <v>17</v>
      </c>
      <c r="M191" s="5">
        <v>3</v>
      </c>
      <c r="N191" s="5" t="s">
        <v>3</v>
      </c>
      <c r="O191" s="5">
        <v>2</v>
      </c>
      <c r="P191" s="5">
        <f>ROUND(Source!EL173,O191)</f>
        <v>0</v>
      </c>
      <c r="Q191" s="5"/>
      <c r="R191" s="5"/>
      <c r="S191" s="5"/>
      <c r="T191" s="5"/>
      <c r="U191" s="5"/>
      <c r="V191" s="5"/>
      <c r="W191" s="5"/>
    </row>
    <row r="192" spans="1:23" x14ac:dyDescent="0.2">
      <c r="A192" s="5">
        <v>50</v>
      </c>
      <c r="B192" s="5">
        <v>0</v>
      </c>
      <c r="C192" s="5">
        <v>0</v>
      </c>
      <c r="D192" s="5">
        <v>1</v>
      </c>
      <c r="E192" s="5">
        <v>217</v>
      </c>
      <c r="F192" s="5">
        <f>ROUND(Source!AU173,O192)</f>
        <v>2556.6999999999998</v>
      </c>
      <c r="G192" s="5" t="s">
        <v>107</v>
      </c>
      <c r="H192" s="5" t="s">
        <v>108</v>
      </c>
      <c r="I192" s="5"/>
      <c r="J192" s="5"/>
      <c r="K192" s="5">
        <v>217</v>
      </c>
      <c r="L192" s="5">
        <v>18</v>
      </c>
      <c r="M192" s="5">
        <v>3</v>
      </c>
      <c r="N192" s="5" t="s">
        <v>3</v>
      </c>
      <c r="O192" s="5">
        <v>2</v>
      </c>
      <c r="P192" s="5">
        <f>ROUND(Source!EM173,O192)</f>
        <v>26103.02</v>
      </c>
      <c r="Q192" s="5"/>
      <c r="R192" s="5"/>
      <c r="S192" s="5"/>
      <c r="T192" s="5"/>
      <c r="U192" s="5"/>
      <c r="V192" s="5"/>
      <c r="W192" s="5"/>
    </row>
    <row r="193" spans="1:206" x14ac:dyDescent="0.2">
      <c r="A193" s="5">
        <v>50</v>
      </c>
      <c r="B193" s="5">
        <v>0</v>
      </c>
      <c r="C193" s="5">
        <v>0</v>
      </c>
      <c r="D193" s="5">
        <v>1</v>
      </c>
      <c r="E193" s="5">
        <v>230</v>
      </c>
      <c r="F193" s="5">
        <f>ROUND(Source!BA173,O193)</f>
        <v>0</v>
      </c>
      <c r="G193" s="5" t="s">
        <v>109</v>
      </c>
      <c r="H193" s="5" t="s">
        <v>110</v>
      </c>
      <c r="I193" s="5"/>
      <c r="J193" s="5"/>
      <c r="K193" s="5">
        <v>230</v>
      </c>
      <c r="L193" s="5">
        <v>19</v>
      </c>
      <c r="M193" s="5">
        <v>3</v>
      </c>
      <c r="N193" s="5" t="s">
        <v>3</v>
      </c>
      <c r="O193" s="5">
        <v>2</v>
      </c>
      <c r="P193" s="5">
        <f>ROUND(Source!ES173,O193)</f>
        <v>0</v>
      </c>
      <c r="Q193" s="5"/>
      <c r="R193" s="5"/>
      <c r="S193" s="5"/>
      <c r="T193" s="5"/>
      <c r="U193" s="5"/>
      <c r="V193" s="5"/>
      <c r="W193" s="5"/>
    </row>
    <row r="194" spans="1:206" x14ac:dyDescent="0.2">
      <c r="A194" s="5">
        <v>50</v>
      </c>
      <c r="B194" s="5">
        <v>0</v>
      </c>
      <c r="C194" s="5">
        <v>0</v>
      </c>
      <c r="D194" s="5">
        <v>1</v>
      </c>
      <c r="E194" s="5">
        <v>206</v>
      </c>
      <c r="F194" s="5">
        <f>ROUND(Source!T173,O194)</f>
        <v>0</v>
      </c>
      <c r="G194" s="5" t="s">
        <v>111</v>
      </c>
      <c r="H194" s="5" t="s">
        <v>112</v>
      </c>
      <c r="I194" s="5"/>
      <c r="J194" s="5"/>
      <c r="K194" s="5">
        <v>206</v>
      </c>
      <c r="L194" s="5">
        <v>20</v>
      </c>
      <c r="M194" s="5">
        <v>3</v>
      </c>
      <c r="N194" s="5" t="s">
        <v>3</v>
      </c>
      <c r="O194" s="5">
        <v>2</v>
      </c>
      <c r="P194" s="5">
        <f>ROUND(Source!DL173,O194)</f>
        <v>0</v>
      </c>
      <c r="Q194" s="5"/>
      <c r="R194" s="5"/>
      <c r="S194" s="5"/>
      <c r="T194" s="5"/>
      <c r="U194" s="5"/>
      <c r="V194" s="5"/>
      <c r="W194" s="5"/>
    </row>
    <row r="195" spans="1:206" x14ac:dyDescent="0.2">
      <c r="A195" s="5">
        <v>50</v>
      </c>
      <c r="B195" s="5">
        <v>0</v>
      </c>
      <c r="C195" s="5">
        <v>0</v>
      </c>
      <c r="D195" s="5">
        <v>1</v>
      </c>
      <c r="E195" s="5">
        <v>207</v>
      </c>
      <c r="F195" s="5">
        <f>Source!U173</f>
        <v>71.133052800000002</v>
      </c>
      <c r="G195" s="5" t="s">
        <v>113</v>
      </c>
      <c r="H195" s="5" t="s">
        <v>114</v>
      </c>
      <c r="I195" s="5"/>
      <c r="J195" s="5"/>
      <c r="K195" s="5">
        <v>207</v>
      </c>
      <c r="L195" s="5">
        <v>21</v>
      </c>
      <c r="M195" s="5">
        <v>3</v>
      </c>
      <c r="N195" s="5" t="s">
        <v>3</v>
      </c>
      <c r="O195" s="5">
        <v>-1</v>
      </c>
      <c r="P195" s="5">
        <f>Source!DM173</f>
        <v>71.133052800000002</v>
      </c>
      <c r="Q195" s="5"/>
      <c r="R195" s="5"/>
      <c r="S195" s="5"/>
      <c r="T195" s="5"/>
      <c r="U195" s="5"/>
      <c r="V195" s="5"/>
      <c r="W195" s="5"/>
    </row>
    <row r="196" spans="1:206" x14ac:dyDescent="0.2">
      <c r="A196" s="5">
        <v>50</v>
      </c>
      <c r="B196" s="5">
        <v>0</v>
      </c>
      <c r="C196" s="5">
        <v>0</v>
      </c>
      <c r="D196" s="5">
        <v>1</v>
      </c>
      <c r="E196" s="5">
        <v>208</v>
      </c>
      <c r="F196" s="5">
        <f>Source!V173</f>
        <v>0</v>
      </c>
      <c r="G196" s="5" t="s">
        <v>115</v>
      </c>
      <c r="H196" s="5" t="s">
        <v>116</v>
      </c>
      <c r="I196" s="5"/>
      <c r="J196" s="5"/>
      <c r="K196" s="5">
        <v>208</v>
      </c>
      <c r="L196" s="5">
        <v>22</v>
      </c>
      <c r="M196" s="5">
        <v>3</v>
      </c>
      <c r="N196" s="5" t="s">
        <v>3</v>
      </c>
      <c r="O196" s="5">
        <v>-1</v>
      </c>
      <c r="P196" s="5">
        <f>Source!DN173</f>
        <v>0</v>
      </c>
      <c r="Q196" s="5"/>
      <c r="R196" s="5"/>
      <c r="S196" s="5"/>
      <c r="T196" s="5"/>
      <c r="U196" s="5"/>
      <c r="V196" s="5"/>
      <c r="W196" s="5"/>
    </row>
    <row r="197" spans="1:206" x14ac:dyDescent="0.2">
      <c r="A197" s="5">
        <v>50</v>
      </c>
      <c r="B197" s="5">
        <v>0</v>
      </c>
      <c r="C197" s="5">
        <v>0</v>
      </c>
      <c r="D197" s="5">
        <v>1</v>
      </c>
      <c r="E197" s="5">
        <v>209</v>
      </c>
      <c r="F197" s="5">
        <f>ROUND(Source!W173,O197)</f>
        <v>0</v>
      </c>
      <c r="G197" s="5" t="s">
        <v>117</v>
      </c>
      <c r="H197" s="5" t="s">
        <v>118</v>
      </c>
      <c r="I197" s="5"/>
      <c r="J197" s="5"/>
      <c r="K197" s="5">
        <v>209</v>
      </c>
      <c r="L197" s="5">
        <v>23</v>
      </c>
      <c r="M197" s="5">
        <v>3</v>
      </c>
      <c r="N197" s="5" t="s">
        <v>3</v>
      </c>
      <c r="O197" s="5">
        <v>2</v>
      </c>
      <c r="P197" s="5">
        <f>ROUND(Source!DO173,O197)</f>
        <v>0</v>
      </c>
      <c r="Q197" s="5"/>
      <c r="R197" s="5"/>
      <c r="S197" s="5"/>
      <c r="T197" s="5"/>
      <c r="U197" s="5"/>
      <c r="V197" s="5"/>
      <c r="W197" s="5"/>
    </row>
    <row r="198" spans="1:206" x14ac:dyDescent="0.2">
      <c r="A198" s="5">
        <v>50</v>
      </c>
      <c r="B198" s="5">
        <v>0</v>
      </c>
      <c r="C198" s="5">
        <v>0</v>
      </c>
      <c r="D198" s="5">
        <v>1</v>
      </c>
      <c r="E198" s="5">
        <v>233</v>
      </c>
      <c r="F198" s="5">
        <f>ROUND(Source!BD173,O198)</f>
        <v>0</v>
      </c>
      <c r="G198" s="5" t="s">
        <v>119</v>
      </c>
      <c r="H198" s="5" t="s">
        <v>120</v>
      </c>
      <c r="I198" s="5"/>
      <c r="J198" s="5"/>
      <c r="K198" s="5">
        <v>233</v>
      </c>
      <c r="L198" s="5">
        <v>24</v>
      </c>
      <c r="M198" s="5">
        <v>3</v>
      </c>
      <c r="N198" s="5" t="s">
        <v>3</v>
      </c>
      <c r="O198" s="5">
        <v>2</v>
      </c>
      <c r="P198" s="5">
        <f>ROUND(Source!EV173,O198)</f>
        <v>0</v>
      </c>
      <c r="Q198" s="5"/>
      <c r="R198" s="5"/>
      <c r="S198" s="5"/>
      <c r="T198" s="5"/>
      <c r="U198" s="5"/>
      <c r="V198" s="5"/>
      <c r="W198" s="5"/>
    </row>
    <row r="199" spans="1:206" x14ac:dyDescent="0.2">
      <c r="A199" s="5">
        <v>50</v>
      </c>
      <c r="B199" s="5">
        <v>0</v>
      </c>
      <c r="C199" s="5">
        <v>0</v>
      </c>
      <c r="D199" s="5">
        <v>1</v>
      </c>
      <c r="E199" s="5">
        <v>210</v>
      </c>
      <c r="F199" s="5">
        <f>ROUND(Source!X173,O199)</f>
        <v>1371.09</v>
      </c>
      <c r="G199" s="5" t="s">
        <v>121</v>
      </c>
      <c r="H199" s="5" t="s">
        <v>122</v>
      </c>
      <c r="I199" s="5"/>
      <c r="J199" s="5"/>
      <c r="K199" s="5">
        <v>210</v>
      </c>
      <c r="L199" s="5">
        <v>25</v>
      </c>
      <c r="M199" s="5">
        <v>3</v>
      </c>
      <c r="N199" s="5" t="s">
        <v>3</v>
      </c>
      <c r="O199" s="5">
        <v>2</v>
      </c>
      <c r="P199" s="5">
        <f>ROUND(Source!DP173,O199)</f>
        <v>19044.63</v>
      </c>
      <c r="Q199" s="5"/>
      <c r="R199" s="5"/>
      <c r="S199" s="5"/>
      <c r="T199" s="5"/>
      <c r="U199" s="5"/>
      <c r="V199" s="5"/>
      <c r="W199" s="5"/>
    </row>
    <row r="200" spans="1:206" x14ac:dyDescent="0.2">
      <c r="A200" s="5">
        <v>50</v>
      </c>
      <c r="B200" s="5">
        <v>0</v>
      </c>
      <c r="C200" s="5">
        <v>0</v>
      </c>
      <c r="D200" s="5">
        <v>1</v>
      </c>
      <c r="E200" s="5">
        <v>211</v>
      </c>
      <c r="F200" s="5">
        <f>ROUND(Source!Y173,O200)</f>
        <v>747.68</v>
      </c>
      <c r="G200" s="5" t="s">
        <v>123</v>
      </c>
      <c r="H200" s="5" t="s">
        <v>124</v>
      </c>
      <c r="I200" s="5"/>
      <c r="J200" s="5"/>
      <c r="K200" s="5">
        <v>211</v>
      </c>
      <c r="L200" s="5">
        <v>26</v>
      </c>
      <c r="M200" s="5">
        <v>3</v>
      </c>
      <c r="N200" s="5" t="s">
        <v>3</v>
      </c>
      <c r="O200" s="5">
        <v>2</v>
      </c>
      <c r="P200" s="5">
        <f>ROUND(Source!DQ173,O200)</f>
        <v>8798.8700000000008</v>
      </c>
      <c r="Q200" s="5"/>
      <c r="R200" s="5"/>
      <c r="S200" s="5"/>
      <c r="T200" s="5"/>
      <c r="U200" s="5"/>
      <c r="V200" s="5"/>
      <c r="W200" s="5"/>
    </row>
    <row r="201" spans="1:206" x14ac:dyDescent="0.2">
      <c r="A201" s="5">
        <v>50</v>
      </c>
      <c r="B201" s="5">
        <v>0</v>
      </c>
      <c r="C201" s="5">
        <v>0</v>
      </c>
      <c r="D201" s="5">
        <v>1</v>
      </c>
      <c r="E201" s="5">
        <v>224</v>
      </c>
      <c r="F201" s="5">
        <f>ROUND(Source!AR173,O201)</f>
        <v>10539.82</v>
      </c>
      <c r="G201" s="5" t="s">
        <v>125</v>
      </c>
      <c r="H201" s="5" t="s">
        <v>126</v>
      </c>
      <c r="I201" s="5"/>
      <c r="J201" s="5"/>
      <c r="K201" s="5">
        <v>224</v>
      </c>
      <c r="L201" s="5">
        <v>27</v>
      </c>
      <c r="M201" s="5">
        <v>3</v>
      </c>
      <c r="N201" s="5" t="s">
        <v>3</v>
      </c>
      <c r="O201" s="5">
        <v>2</v>
      </c>
      <c r="P201" s="5">
        <f>ROUND(Source!EJ173,O201)</f>
        <v>105075.51</v>
      </c>
      <c r="Q201" s="5"/>
      <c r="R201" s="5"/>
      <c r="S201" s="5"/>
      <c r="T201" s="5"/>
      <c r="U201" s="5"/>
      <c r="V201" s="5"/>
      <c r="W201" s="5"/>
    </row>
    <row r="203" spans="1:206" x14ac:dyDescent="0.2">
      <c r="A203" s="3">
        <v>51</v>
      </c>
      <c r="B203" s="3">
        <f>B20</f>
        <v>1</v>
      </c>
      <c r="C203" s="3">
        <f>A20</f>
        <v>3</v>
      </c>
      <c r="D203" s="3">
        <f>ROW(A20)</f>
        <v>20</v>
      </c>
      <c r="E203" s="3"/>
      <c r="F203" s="3" t="str">
        <f>IF(F20&lt;&gt;"",F20,"")</f>
        <v>Новая локальная смета</v>
      </c>
      <c r="G203" s="3" t="str">
        <f>IF(G20&lt;&gt;"",G20,"")</f>
        <v>Новая локальная смета</v>
      </c>
      <c r="H203" s="3">
        <v>0</v>
      </c>
      <c r="I203" s="3"/>
      <c r="J203" s="3"/>
      <c r="K203" s="3"/>
      <c r="L203" s="3"/>
      <c r="M203" s="3"/>
      <c r="N203" s="3"/>
      <c r="O203" s="3">
        <f t="shared" ref="O203:T203" si="174">ROUND(O49+O112+O173+AB203,2)</f>
        <v>296322.8</v>
      </c>
      <c r="P203" s="3">
        <f t="shared" si="174"/>
        <v>283066.15000000002</v>
      </c>
      <c r="Q203" s="3">
        <f t="shared" si="174"/>
        <v>9020.44</v>
      </c>
      <c r="R203" s="3">
        <f t="shared" si="174"/>
        <v>259.47000000000003</v>
      </c>
      <c r="S203" s="3">
        <f t="shared" si="174"/>
        <v>4236.21</v>
      </c>
      <c r="T203" s="3">
        <f t="shared" si="174"/>
        <v>0</v>
      </c>
      <c r="U203" s="3">
        <f>U49+U112+U173+AH203</f>
        <v>375.46125959999995</v>
      </c>
      <c r="V203" s="3">
        <f>V49+V112+V173+AI203</f>
        <v>0</v>
      </c>
      <c r="W203" s="3">
        <f>ROUND(W49+W112+W173+AJ203,2)</f>
        <v>0</v>
      </c>
      <c r="X203" s="3">
        <f>ROUND(X49+X112+X173+AK203,2)</f>
        <v>5749.91</v>
      </c>
      <c r="Y203" s="3">
        <f>ROUND(Y49+Y112+Y173+AL203,2)</f>
        <v>3602.9</v>
      </c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>
        <f t="shared" ref="AO203:BD203" si="175">ROUND(AO49+AO112+AO173+BX203,2)</f>
        <v>0</v>
      </c>
      <c r="AP203" s="3">
        <f t="shared" si="175"/>
        <v>0</v>
      </c>
      <c r="AQ203" s="3">
        <f t="shared" si="175"/>
        <v>0</v>
      </c>
      <c r="AR203" s="3">
        <f t="shared" si="175"/>
        <v>306129.7</v>
      </c>
      <c r="AS203" s="3">
        <f t="shared" si="175"/>
        <v>298677.96000000002</v>
      </c>
      <c r="AT203" s="3">
        <f t="shared" si="175"/>
        <v>0</v>
      </c>
      <c r="AU203" s="3">
        <f t="shared" si="175"/>
        <v>7451.74</v>
      </c>
      <c r="AV203" s="3">
        <f t="shared" si="175"/>
        <v>283066.15000000002</v>
      </c>
      <c r="AW203" s="3">
        <f t="shared" si="175"/>
        <v>283066.15000000002</v>
      </c>
      <c r="AX203" s="3">
        <f t="shared" si="175"/>
        <v>0</v>
      </c>
      <c r="AY203" s="3">
        <f t="shared" si="175"/>
        <v>283066.15000000002</v>
      </c>
      <c r="AZ203" s="3">
        <f t="shared" si="175"/>
        <v>0</v>
      </c>
      <c r="BA203" s="3">
        <f t="shared" si="175"/>
        <v>0</v>
      </c>
      <c r="BB203" s="3">
        <f t="shared" si="175"/>
        <v>0</v>
      </c>
      <c r="BC203" s="3">
        <f t="shared" si="175"/>
        <v>0</v>
      </c>
      <c r="BD203" s="3">
        <f t="shared" si="175"/>
        <v>0</v>
      </c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4">
        <f t="shared" ref="DG203:DL203" si="176">ROUND(DG49+DG112+DG173+DT203,2)</f>
        <v>931373.79</v>
      </c>
      <c r="DH203" s="4">
        <f t="shared" si="176"/>
        <v>737851.9</v>
      </c>
      <c r="DI203" s="4">
        <f t="shared" si="176"/>
        <v>87065.93</v>
      </c>
      <c r="DJ203" s="4">
        <f t="shared" si="176"/>
        <v>6517.71</v>
      </c>
      <c r="DK203" s="4">
        <f t="shared" si="176"/>
        <v>106455.96</v>
      </c>
      <c r="DL203" s="4">
        <f t="shared" si="176"/>
        <v>0</v>
      </c>
      <c r="DM203" s="4">
        <f>DM49+DM112+DM173+DZ203</f>
        <v>375.46125959999995</v>
      </c>
      <c r="DN203" s="4">
        <f>DN49+DN112+DN173+EA203</f>
        <v>0</v>
      </c>
      <c r="DO203" s="4">
        <f>ROUND(DO49+DO112+DO173+EB203,2)</f>
        <v>0</v>
      </c>
      <c r="DP203" s="4">
        <f>ROUND(DP49+DP112+DP173+EC203,2)</f>
        <v>108387.81</v>
      </c>
      <c r="DQ203" s="4">
        <f>ROUND(DQ49+DQ112+DQ173+ED203,2)</f>
        <v>48349.14</v>
      </c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  <c r="EF203" s="4"/>
      <c r="EG203" s="4">
        <f t="shared" ref="EG203:EV203" si="177">ROUND(EG49+EG112+EG173+FP203,2)</f>
        <v>0</v>
      </c>
      <c r="EH203" s="4">
        <f t="shared" si="177"/>
        <v>0</v>
      </c>
      <c r="EI203" s="4">
        <f t="shared" si="177"/>
        <v>0</v>
      </c>
      <c r="EJ203" s="4">
        <f t="shared" si="177"/>
        <v>1098343.53</v>
      </c>
      <c r="EK203" s="4">
        <f t="shared" si="177"/>
        <v>1026198.88</v>
      </c>
      <c r="EL203" s="4">
        <f t="shared" si="177"/>
        <v>0</v>
      </c>
      <c r="EM203" s="4">
        <f t="shared" si="177"/>
        <v>72144.649999999994</v>
      </c>
      <c r="EN203" s="4">
        <f t="shared" si="177"/>
        <v>737851.9</v>
      </c>
      <c r="EO203" s="4">
        <f t="shared" si="177"/>
        <v>737851.9</v>
      </c>
      <c r="EP203" s="4">
        <f t="shared" si="177"/>
        <v>0</v>
      </c>
      <c r="EQ203" s="4">
        <f t="shared" si="177"/>
        <v>737851.9</v>
      </c>
      <c r="ER203" s="4">
        <f t="shared" si="177"/>
        <v>0</v>
      </c>
      <c r="ES203" s="4">
        <f t="shared" si="177"/>
        <v>0</v>
      </c>
      <c r="ET203" s="4">
        <f t="shared" si="177"/>
        <v>0</v>
      </c>
      <c r="EU203" s="4">
        <f t="shared" si="177"/>
        <v>0</v>
      </c>
      <c r="EV203" s="4">
        <f t="shared" si="177"/>
        <v>0</v>
      </c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  <c r="FH203" s="4"/>
      <c r="FI203" s="4"/>
      <c r="FJ203" s="4"/>
      <c r="FK203" s="4"/>
      <c r="FL203" s="4"/>
      <c r="FM203" s="4"/>
      <c r="FN203" s="4"/>
      <c r="FO203" s="4"/>
      <c r="FP203" s="4"/>
      <c r="FQ203" s="4"/>
      <c r="FR203" s="4"/>
      <c r="FS203" s="4"/>
      <c r="FT203" s="4"/>
      <c r="FU203" s="4"/>
      <c r="FV203" s="4"/>
      <c r="FW203" s="4"/>
      <c r="FX203" s="4"/>
      <c r="FY203" s="4"/>
      <c r="FZ203" s="4"/>
      <c r="GA203" s="4"/>
      <c r="GB203" s="4"/>
      <c r="GC203" s="4"/>
      <c r="GD203" s="4"/>
      <c r="GE203" s="4"/>
      <c r="GF203" s="4"/>
      <c r="GG203" s="4"/>
      <c r="GH203" s="4"/>
      <c r="GI203" s="4"/>
      <c r="GJ203" s="4"/>
      <c r="GK203" s="4"/>
      <c r="GL203" s="4"/>
      <c r="GM203" s="4"/>
      <c r="GN203" s="4"/>
      <c r="GO203" s="4"/>
      <c r="GP203" s="4"/>
      <c r="GQ203" s="4"/>
      <c r="GR203" s="4"/>
      <c r="GS203" s="4"/>
      <c r="GT203" s="4"/>
      <c r="GU203" s="4"/>
      <c r="GV203" s="4"/>
      <c r="GW203" s="4"/>
      <c r="GX203" s="4">
        <v>0</v>
      </c>
    </row>
    <row r="205" spans="1:206" x14ac:dyDescent="0.2">
      <c r="A205" s="5">
        <v>50</v>
      </c>
      <c r="B205" s="5">
        <v>0</v>
      </c>
      <c r="C205" s="5">
        <v>0</v>
      </c>
      <c r="D205" s="5">
        <v>1</v>
      </c>
      <c r="E205" s="5">
        <v>201</v>
      </c>
      <c r="F205" s="5">
        <f>ROUND(Source!O203,O205)</f>
        <v>296322.8</v>
      </c>
      <c r="G205" s="5" t="s">
        <v>73</v>
      </c>
      <c r="H205" s="5" t="s">
        <v>74</v>
      </c>
      <c r="I205" s="5"/>
      <c r="J205" s="5"/>
      <c r="K205" s="5">
        <v>201</v>
      </c>
      <c r="L205" s="5">
        <v>1</v>
      </c>
      <c r="M205" s="5">
        <v>3</v>
      </c>
      <c r="N205" s="5" t="s">
        <v>3</v>
      </c>
      <c r="O205" s="5">
        <v>2</v>
      </c>
      <c r="P205" s="5">
        <f>ROUND(Source!DG203,O205)</f>
        <v>931373.79</v>
      </c>
      <c r="Q205" s="5"/>
      <c r="R205" s="5"/>
      <c r="S205" s="5"/>
      <c r="T205" s="5"/>
      <c r="U205" s="5"/>
      <c r="V205" s="5"/>
      <c r="W205" s="5"/>
    </row>
    <row r="206" spans="1:206" x14ac:dyDescent="0.2">
      <c r="A206" s="5">
        <v>50</v>
      </c>
      <c r="B206" s="5">
        <v>0</v>
      </c>
      <c r="C206" s="5">
        <v>0</v>
      </c>
      <c r="D206" s="5">
        <v>1</v>
      </c>
      <c r="E206" s="5">
        <v>202</v>
      </c>
      <c r="F206" s="5">
        <f>ROUND(Source!P203,O206)</f>
        <v>283066.15000000002</v>
      </c>
      <c r="G206" s="5" t="s">
        <v>75</v>
      </c>
      <c r="H206" s="5" t="s">
        <v>76</v>
      </c>
      <c r="I206" s="5"/>
      <c r="J206" s="5"/>
      <c r="K206" s="5">
        <v>202</v>
      </c>
      <c r="L206" s="5">
        <v>2</v>
      </c>
      <c r="M206" s="5">
        <v>3</v>
      </c>
      <c r="N206" s="5" t="s">
        <v>3</v>
      </c>
      <c r="O206" s="5">
        <v>2</v>
      </c>
      <c r="P206" s="5">
        <f>ROUND(Source!DH203,O206)</f>
        <v>737851.9</v>
      </c>
      <c r="Q206" s="5"/>
      <c r="R206" s="5"/>
      <c r="S206" s="5"/>
      <c r="T206" s="5"/>
      <c r="U206" s="5"/>
      <c r="V206" s="5"/>
      <c r="W206" s="5"/>
    </row>
    <row r="207" spans="1:206" x14ac:dyDescent="0.2">
      <c r="A207" s="5">
        <v>50</v>
      </c>
      <c r="B207" s="5">
        <v>0</v>
      </c>
      <c r="C207" s="5">
        <v>0</v>
      </c>
      <c r="D207" s="5">
        <v>1</v>
      </c>
      <c r="E207" s="5">
        <v>222</v>
      </c>
      <c r="F207" s="5">
        <f>ROUND(Source!AO203,O207)</f>
        <v>0</v>
      </c>
      <c r="G207" s="5" t="s">
        <v>77</v>
      </c>
      <c r="H207" s="5" t="s">
        <v>78</v>
      </c>
      <c r="I207" s="5"/>
      <c r="J207" s="5"/>
      <c r="K207" s="5">
        <v>222</v>
      </c>
      <c r="L207" s="5">
        <v>3</v>
      </c>
      <c r="M207" s="5">
        <v>3</v>
      </c>
      <c r="N207" s="5" t="s">
        <v>3</v>
      </c>
      <c r="O207" s="5">
        <v>2</v>
      </c>
      <c r="P207" s="5">
        <f>ROUND(Source!EG203,O207)</f>
        <v>0</v>
      </c>
      <c r="Q207" s="5"/>
      <c r="R207" s="5"/>
      <c r="S207" s="5"/>
      <c r="T207" s="5"/>
      <c r="U207" s="5"/>
      <c r="V207" s="5"/>
      <c r="W207" s="5"/>
    </row>
    <row r="208" spans="1:206" x14ac:dyDescent="0.2">
      <c r="A208" s="5">
        <v>50</v>
      </c>
      <c r="B208" s="5">
        <v>0</v>
      </c>
      <c r="C208" s="5">
        <v>0</v>
      </c>
      <c r="D208" s="5">
        <v>1</v>
      </c>
      <c r="E208" s="5">
        <v>225</v>
      </c>
      <c r="F208" s="5">
        <f>ROUND(Source!AV203,O208)</f>
        <v>283066.15000000002</v>
      </c>
      <c r="G208" s="5" t="s">
        <v>79</v>
      </c>
      <c r="H208" s="5" t="s">
        <v>80</v>
      </c>
      <c r="I208" s="5"/>
      <c r="J208" s="5"/>
      <c r="K208" s="5">
        <v>225</v>
      </c>
      <c r="L208" s="5">
        <v>4</v>
      </c>
      <c r="M208" s="5">
        <v>3</v>
      </c>
      <c r="N208" s="5" t="s">
        <v>3</v>
      </c>
      <c r="O208" s="5">
        <v>2</v>
      </c>
      <c r="P208" s="5">
        <f>ROUND(Source!EN203,O208)</f>
        <v>737851.9</v>
      </c>
      <c r="Q208" s="5"/>
      <c r="R208" s="5"/>
      <c r="S208" s="5"/>
      <c r="T208" s="5"/>
      <c r="U208" s="5"/>
      <c r="V208" s="5"/>
      <c r="W208" s="5"/>
    </row>
    <row r="209" spans="1:23" x14ac:dyDescent="0.2">
      <c r="A209" s="5">
        <v>50</v>
      </c>
      <c r="B209" s="5">
        <v>0</v>
      </c>
      <c r="C209" s="5">
        <v>0</v>
      </c>
      <c r="D209" s="5">
        <v>1</v>
      </c>
      <c r="E209" s="5">
        <v>226</v>
      </c>
      <c r="F209" s="5">
        <f>ROUND(Source!AW203,O209)</f>
        <v>283066.15000000002</v>
      </c>
      <c r="G209" s="5" t="s">
        <v>81</v>
      </c>
      <c r="H209" s="5" t="s">
        <v>82</v>
      </c>
      <c r="I209" s="5"/>
      <c r="J209" s="5"/>
      <c r="K209" s="5">
        <v>226</v>
      </c>
      <c r="L209" s="5">
        <v>5</v>
      </c>
      <c r="M209" s="5">
        <v>3</v>
      </c>
      <c r="N209" s="5" t="s">
        <v>3</v>
      </c>
      <c r="O209" s="5">
        <v>2</v>
      </c>
      <c r="P209" s="5">
        <f>ROUND(Source!EO203,O209)</f>
        <v>737851.9</v>
      </c>
      <c r="Q209" s="5"/>
      <c r="R209" s="5"/>
      <c r="S209" s="5"/>
      <c r="T209" s="5"/>
      <c r="U209" s="5"/>
      <c r="V209" s="5"/>
      <c r="W209" s="5"/>
    </row>
    <row r="210" spans="1:23" x14ac:dyDescent="0.2">
      <c r="A210" s="5">
        <v>50</v>
      </c>
      <c r="B210" s="5">
        <v>0</v>
      </c>
      <c r="C210" s="5">
        <v>0</v>
      </c>
      <c r="D210" s="5">
        <v>1</v>
      </c>
      <c r="E210" s="5">
        <v>227</v>
      </c>
      <c r="F210" s="5">
        <f>ROUND(Source!AX203,O210)</f>
        <v>0</v>
      </c>
      <c r="G210" s="5" t="s">
        <v>83</v>
      </c>
      <c r="H210" s="5" t="s">
        <v>84</v>
      </c>
      <c r="I210" s="5"/>
      <c r="J210" s="5"/>
      <c r="K210" s="5">
        <v>227</v>
      </c>
      <c r="L210" s="5">
        <v>6</v>
      </c>
      <c r="M210" s="5">
        <v>3</v>
      </c>
      <c r="N210" s="5" t="s">
        <v>3</v>
      </c>
      <c r="O210" s="5">
        <v>2</v>
      </c>
      <c r="P210" s="5">
        <f>ROUND(Source!EP203,O210)</f>
        <v>0</v>
      </c>
      <c r="Q210" s="5"/>
      <c r="R210" s="5"/>
      <c r="S210" s="5"/>
      <c r="T210" s="5"/>
      <c r="U210" s="5"/>
      <c r="V210" s="5"/>
      <c r="W210" s="5"/>
    </row>
    <row r="211" spans="1:23" x14ac:dyDescent="0.2">
      <c r="A211" s="5">
        <v>50</v>
      </c>
      <c r="B211" s="5">
        <v>0</v>
      </c>
      <c r="C211" s="5">
        <v>0</v>
      </c>
      <c r="D211" s="5">
        <v>1</v>
      </c>
      <c r="E211" s="5">
        <v>228</v>
      </c>
      <c r="F211" s="5">
        <f>ROUND(Source!AY203,O211)</f>
        <v>283066.15000000002</v>
      </c>
      <c r="G211" s="5" t="s">
        <v>85</v>
      </c>
      <c r="H211" s="5" t="s">
        <v>86</v>
      </c>
      <c r="I211" s="5"/>
      <c r="J211" s="5"/>
      <c r="K211" s="5">
        <v>228</v>
      </c>
      <c r="L211" s="5">
        <v>7</v>
      </c>
      <c r="M211" s="5">
        <v>3</v>
      </c>
      <c r="N211" s="5" t="s">
        <v>3</v>
      </c>
      <c r="O211" s="5">
        <v>2</v>
      </c>
      <c r="P211" s="5">
        <f>ROUND(Source!EQ203,O211)</f>
        <v>737851.9</v>
      </c>
      <c r="Q211" s="5"/>
      <c r="R211" s="5"/>
      <c r="S211" s="5"/>
      <c r="T211" s="5"/>
      <c r="U211" s="5"/>
      <c r="V211" s="5"/>
      <c r="W211" s="5"/>
    </row>
    <row r="212" spans="1:23" x14ac:dyDescent="0.2">
      <c r="A212" s="5">
        <v>50</v>
      </c>
      <c r="B212" s="5">
        <v>0</v>
      </c>
      <c r="C212" s="5">
        <v>0</v>
      </c>
      <c r="D212" s="5">
        <v>1</v>
      </c>
      <c r="E212" s="5">
        <v>216</v>
      </c>
      <c r="F212" s="5">
        <f>ROUND(Source!AP203,O212)</f>
        <v>0</v>
      </c>
      <c r="G212" s="5" t="s">
        <v>87</v>
      </c>
      <c r="H212" s="5" t="s">
        <v>88</v>
      </c>
      <c r="I212" s="5"/>
      <c r="J212" s="5"/>
      <c r="K212" s="5">
        <v>216</v>
      </c>
      <c r="L212" s="5">
        <v>8</v>
      </c>
      <c r="M212" s="5">
        <v>3</v>
      </c>
      <c r="N212" s="5" t="s">
        <v>3</v>
      </c>
      <c r="O212" s="5">
        <v>2</v>
      </c>
      <c r="P212" s="5">
        <f>ROUND(Source!EH203,O212)</f>
        <v>0</v>
      </c>
      <c r="Q212" s="5"/>
      <c r="R212" s="5"/>
      <c r="S212" s="5"/>
      <c r="T212" s="5"/>
      <c r="U212" s="5"/>
      <c r="V212" s="5"/>
      <c r="W212" s="5"/>
    </row>
    <row r="213" spans="1:23" x14ac:dyDescent="0.2">
      <c r="A213" s="5">
        <v>50</v>
      </c>
      <c r="B213" s="5">
        <v>0</v>
      </c>
      <c r="C213" s="5">
        <v>0</v>
      </c>
      <c r="D213" s="5">
        <v>1</v>
      </c>
      <c r="E213" s="5">
        <v>223</v>
      </c>
      <c r="F213" s="5">
        <f>ROUND(Source!AQ203,O213)</f>
        <v>0</v>
      </c>
      <c r="G213" s="5" t="s">
        <v>89</v>
      </c>
      <c r="H213" s="5" t="s">
        <v>90</v>
      </c>
      <c r="I213" s="5"/>
      <c r="J213" s="5"/>
      <c r="K213" s="5">
        <v>223</v>
      </c>
      <c r="L213" s="5">
        <v>9</v>
      </c>
      <c r="M213" s="5">
        <v>3</v>
      </c>
      <c r="N213" s="5" t="s">
        <v>3</v>
      </c>
      <c r="O213" s="5">
        <v>2</v>
      </c>
      <c r="P213" s="5">
        <f>ROUND(Source!EI203,O213)</f>
        <v>0</v>
      </c>
      <c r="Q213" s="5"/>
      <c r="R213" s="5"/>
      <c r="S213" s="5"/>
      <c r="T213" s="5"/>
      <c r="U213" s="5"/>
      <c r="V213" s="5"/>
      <c r="W213" s="5"/>
    </row>
    <row r="214" spans="1:23" x14ac:dyDescent="0.2">
      <c r="A214" s="5">
        <v>50</v>
      </c>
      <c r="B214" s="5">
        <v>0</v>
      </c>
      <c r="C214" s="5">
        <v>0</v>
      </c>
      <c r="D214" s="5">
        <v>1</v>
      </c>
      <c r="E214" s="5">
        <v>229</v>
      </c>
      <c r="F214" s="5">
        <f>ROUND(Source!AZ203,O214)</f>
        <v>0</v>
      </c>
      <c r="G214" s="5" t="s">
        <v>91</v>
      </c>
      <c r="H214" s="5" t="s">
        <v>92</v>
      </c>
      <c r="I214" s="5"/>
      <c r="J214" s="5"/>
      <c r="K214" s="5">
        <v>229</v>
      </c>
      <c r="L214" s="5">
        <v>10</v>
      </c>
      <c r="M214" s="5">
        <v>3</v>
      </c>
      <c r="N214" s="5" t="s">
        <v>3</v>
      </c>
      <c r="O214" s="5">
        <v>2</v>
      </c>
      <c r="P214" s="5">
        <f>ROUND(Source!ER203,O214)</f>
        <v>0</v>
      </c>
      <c r="Q214" s="5"/>
      <c r="R214" s="5"/>
      <c r="S214" s="5"/>
      <c r="T214" s="5"/>
      <c r="U214" s="5"/>
      <c r="V214" s="5"/>
      <c r="W214" s="5"/>
    </row>
    <row r="215" spans="1:23" x14ac:dyDescent="0.2">
      <c r="A215" s="5">
        <v>50</v>
      </c>
      <c r="B215" s="5">
        <v>0</v>
      </c>
      <c r="C215" s="5">
        <v>0</v>
      </c>
      <c r="D215" s="5">
        <v>1</v>
      </c>
      <c r="E215" s="5">
        <v>203</v>
      </c>
      <c r="F215" s="5">
        <f>ROUND(Source!Q203,O215)</f>
        <v>9020.44</v>
      </c>
      <c r="G215" s="5" t="s">
        <v>93</v>
      </c>
      <c r="H215" s="5" t="s">
        <v>94</v>
      </c>
      <c r="I215" s="5"/>
      <c r="J215" s="5"/>
      <c r="K215" s="5">
        <v>203</v>
      </c>
      <c r="L215" s="5">
        <v>11</v>
      </c>
      <c r="M215" s="5">
        <v>3</v>
      </c>
      <c r="N215" s="5" t="s">
        <v>3</v>
      </c>
      <c r="O215" s="5">
        <v>2</v>
      </c>
      <c r="P215" s="5">
        <f>ROUND(Source!DI203,O215)</f>
        <v>87065.93</v>
      </c>
      <c r="Q215" s="5"/>
      <c r="R215" s="5"/>
      <c r="S215" s="5"/>
      <c r="T215" s="5"/>
      <c r="U215" s="5"/>
      <c r="V215" s="5"/>
      <c r="W215" s="5"/>
    </row>
    <row r="216" spans="1:23" x14ac:dyDescent="0.2">
      <c r="A216" s="5">
        <v>50</v>
      </c>
      <c r="B216" s="5">
        <v>0</v>
      </c>
      <c r="C216" s="5">
        <v>0</v>
      </c>
      <c r="D216" s="5">
        <v>1</v>
      </c>
      <c r="E216" s="5">
        <v>231</v>
      </c>
      <c r="F216" s="5">
        <f>ROUND(Source!BB203,O216)</f>
        <v>0</v>
      </c>
      <c r="G216" s="5" t="s">
        <v>95</v>
      </c>
      <c r="H216" s="5" t="s">
        <v>96</v>
      </c>
      <c r="I216" s="5"/>
      <c r="J216" s="5"/>
      <c r="K216" s="5">
        <v>231</v>
      </c>
      <c r="L216" s="5">
        <v>12</v>
      </c>
      <c r="M216" s="5">
        <v>3</v>
      </c>
      <c r="N216" s="5" t="s">
        <v>3</v>
      </c>
      <c r="O216" s="5">
        <v>2</v>
      </c>
      <c r="P216" s="5">
        <f>ROUND(Source!ET203,O216)</f>
        <v>0</v>
      </c>
      <c r="Q216" s="5"/>
      <c r="R216" s="5"/>
      <c r="S216" s="5"/>
      <c r="T216" s="5"/>
      <c r="U216" s="5"/>
      <c r="V216" s="5"/>
      <c r="W216" s="5"/>
    </row>
    <row r="217" spans="1:23" x14ac:dyDescent="0.2">
      <c r="A217" s="5">
        <v>50</v>
      </c>
      <c r="B217" s="5">
        <v>0</v>
      </c>
      <c r="C217" s="5">
        <v>0</v>
      </c>
      <c r="D217" s="5">
        <v>1</v>
      </c>
      <c r="E217" s="5">
        <v>204</v>
      </c>
      <c r="F217" s="5">
        <f>ROUND(Source!R203,O217)</f>
        <v>259.47000000000003</v>
      </c>
      <c r="G217" s="5" t="s">
        <v>97</v>
      </c>
      <c r="H217" s="5" t="s">
        <v>98</v>
      </c>
      <c r="I217" s="5"/>
      <c r="J217" s="5"/>
      <c r="K217" s="5">
        <v>204</v>
      </c>
      <c r="L217" s="5">
        <v>13</v>
      </c>
      <c r="M217" s="5">
        <v>3</v>
      </c>
      <c r="N217" s="5" t="s">
        <v>3</v>
      </c>
      <c r="O217" s="5">
        <v>2</v>
      </c>
      <c r="P217" s="5">
        <f>ROUND(Source!DJ203,O217)</f>
        <v>6517.71</v>
      </c>
      <c r="Q217" s="5"/>
      <c r="R217" s="5"/>
      <c r="S217" s="5"/>
      <c r="T217" s="5"/>
      <c r="U217" s="5"/>
      <c r="V217" s="5"/>
      <c r="W217" s="5"/>
    </row>
    <row r="218" spans="1:23" x14ac:dyDescent="0.2">
      <c r="A218" s="5">
        <v>50</v>
      </c>
      <c r="B218" s="5">
        <v>0</v>
      </c>
      <c r="C218" s="5">
        <v>0</v>
      </c>
      <c r="D218" s="5">
        <v>1</v>
      </c>
      <c r="E218" s="5">
        <v>205</v>
      </c>
      <c r="F218" s="5">
        <f>ROUND(Source!S203,O218)</f>
        <v>4236.21</v>
      </c>
      <c r="G218" s="5" t="s">
        <v>99</v>
      </c>
      <c r="H218" s="5" t="s">
        <v>100</v>
      </c>
      <c r="I218" s="5"/>
      <c r="J218" s="5"/>
      <c r="K218" s="5">
        <v>205</v>
      </c>
      <c r="L218" s="5">
        <v>14</v>
      </c>
      <c r="M218" s="5">
        <v>3</v>
      </c>
      <c r="N218" s="5" t="s">
        <v>3</v>
      </c>
      <c r="O218" s="5">
        <v>2</v>
      </c>
      <c r="P218" s="5">
        <f>ROUND(Source!DK203,O218)</f>
        <v>106455.96</v>
      </c>
      <c r="Q218" s="5"/>
      <c r="R218" s="5"/>
      <c r="S218" s="5"/>
      <c r="T218" s="5"/>
      <c r="U218" s="5"/>
      <c r="V218" s="5"/>
      <c r="W218" s="5"/>
    </row>
    <row r="219" spans="1:23" x14ac:dyDescent="0.2">
      <c r="A219" s="5">
        <v>50</v>
      </c>
      <c r="B219" s="5">
        <v>0</v>
      </c>
      <c r="C219" s="5">
        <v>0</v>
      </c>
      <c r="D219" s="5">
        <v>1</v>
      </c>
      <c r="E219" s="5">
        <v>232</v>
      </c>
      <c r="F219" s="5">
        <f>ROUND(Source!BC203,O219)</f>
        <v>0</v>
      </c>
      <c r="G219" s="5" t="s">
        <v>101</v>
      </c>
      <c r="H219" s="5" t="s">
        <v>102</v>
      </c>
      <c r="I219" s="5"/>
      <c r="J219" s="5"/>
      <c r="K219" s="5">
        <v>232</v>
      </c>
      <c r="L219" s="5">
        <v>15</v>
      </c>
      <c r="M219" s="5">
        <v>3</v>
      </c>
      <c r="N219" s="5" t="s">
        <v>3</v>
      </c>
      <c r="O219" s="5">
        <v>2</v>
      </c>
      <c r="P219" s="5">
        <f>ROUND(Source!EU203,O219)</f>
        <v>0</v>
      </c>
      <c r="Q219" s="5"/>
      <c r="R219" s="5"/>
      <c r="S219" s="5"/>
      <c r="T219" s="5"/>
      <c r="U219" s="5"/>
      <c r="V219" s="5"/>
      <c r="W219" s="5"/>
    </row>
    <row r="220" spans="1:23" x14ac:dyDescent="0.2">
      <c r="A220" s="5">
        <v>50</v>
      </c>
      <c r="B220" s="5">
        <v>0</v>
      </c>
      <c r="C220" s="5">
        <v>0</v>
      </c>
      <c r="D220" s="5">
        <v>1</v>
      </c>
      <c r="E220" s="5">
        <v>214</v>
      </c>
      <c r="F220" s="5">
        <f>ROUND(Source!AS203,O220)</f>
        <v>298677.96000000002</v>
      </c>
      <c r="G220" s="5" t="s">
        <v>103</v>
      </c>
      <c r="H220" s="5" t="s">
        <v>104</v>
      </c>
      <c r="I220" s="5"/>
      <c r="J220" s="5"/>
      <c r="K220" s="5">
        <v>214</v>
      </c>
      <c r="L220" s="5">
        <v>16</v>
      </c>
      <c r="M220" s="5">
        <v>3</v>
      </c>
      <c r="N220" s="5" t="s">
        <v>3</v>
      </c>
      <c r="O220" s="5">
        <v>2</v>
      </c>
      <c r="P220" s="5">
        <f>ROUND(Source!EK203,O220)</f>
        <v>1026198.88</v>
      </c>
      <c r="Q220" s="5"/>
      <c r="R220" s="5"/>
      <c r="S220" s="5"/>
      <c r="T220" s="5"/>
      <c r="U220" s="5"/>
      <c r="V220" s="5"/>
      <c r="W220" s="5"/>
    </row>
    <row r="221" spans="1:23" x14ac:dyDescent="0.2">
      <c r="A221" s="5">
        <v>50</v>
      </c>
      <c r="B221" s="5">
        <v>0</v>
      </c>
      <c r="C221" s="5">
        <v>0</v>
      </c>
      <c r="D221" s="5">
        <v>1</v>
      </c>
      <c r="E221" s="5">
        <v>215</v>
      </c>
      <c r="F221" s="5">
        <f>ROUND(Source!AT203,O221)</f>
        <v>0</v>
      </c>
      <c r="G221" s="5" t="s">
        <v>105</v>
      </c>
      <c r="H221" s="5" t="s">
        <v>106</v>
      </c>
      <c r="I221" s="5"/>
      <c r="J221" s="5"/>
      <c r="K221" s="5">
        <v>215</v>
      </c>
      <c r="L221" s="5">
        <v>17</v>
      </c>
      <c r="M221" s="5">
        <v>3</v>
      </c>
      <c r="N221" s="5" t="s">
        <v>3</v>
      </c>
      <c r="O221" s="5">
        <v>2</v>
      </c>
      <c r="P221" s="5">
        <f>ROUND(Source!EL203,O221)</f>
        <v>0</v>
      </c>
      <c r="Q221" s="5"/>
      <c r="R221" s="5"/>
      <c r="S221" s="5"/>
      <c r="T221" s="5"/>
      <c r="U221" s="5"/>
      <c r="V221" s="5"/>
      <c r="W221" s="5"/>
    </row>
    <row r="222" spans="1:23" x14ac:dyDescent="0.2">
      <c r="A222" s="5">
        <v>50</v>
      </c>
      <c r="B222" s="5">
        <v>0</v>
      </c>
      <c r="C222" s="5">
        <v>0</v>
      </c>
      <c r="D222" s="5">
        <v>1</v>
      </c>
      <c r="E222" s="5">
        <v>217</v>
      </c>
      <c r="F222" s="5">
        <f>ROUND(Source!AU203,O222)</f>
        <v>7451.74</v>
      </c>
      <c r="G222" s="5" t="s">
        <v>107</v>
      </c>
      <c r="H222" s="5" t="s">
        <v>108</v>
      </c>
      <c r="I222" s="5"/>
      <c r="J222" s="5"/>
      <c r="K222" s="5">
        <v>217</v>
      </c>
      <c r="L222" s="5">
        <v>18</v>
      </c>
      <c r="M222" s="5">
        <v>3</v>
      </c>
      <c r="N222" s="5" t="s">
        <v>3</v>
      </c>
      <c r="O222" s="5">
        <v>2</v>
      </c>
      <c r="P222" s="5">
        <f>ROUND(Source!EM203,O222)</f>
        <v>72144.649999999994</v>
      </c>
      <c r="Q222" s="5"/>
      <c r="R222" s="5"/>
      <c r="S222" s="5"/>
      <c r="T222" s="5"/>
      <c r="U222" s="5"/>
      <c r="V222" s="5"/>
      <c r="W222" s="5"/>
    </row>
    <row r="223" spans="1:23" x14ac:dyDescent="0.2">
      <c r="A223" s="5">
        <v>50</v>
      </c>
      <c r="B223" s="5">
        <v>0</v>
      </c>
      <c r="C223" s="5">
        <v>0</v>
      </c>
      <c r="D223" s="5">
        <v>1</v>
      </c>
      <c r="E223" s="5">
        <v>230</v>
      </c>
      <c r="F223" s="5">
        <f>ROUND(Source!BA203,O223)</f>
        <v>0</v>
      </c>
      <c r="G223" s="5" t="s">
        <v>109</v>
      </c>
      <c r="H223" s="5" t="s">
        <v>110</v>
      </c>
      <c r="I223" s="5"/>
      <c r="J223" s="5"/>
      <c r="K223" s="5">
        <v>230</v>
      </c>
      <c r="L223" s="5">
        <v>19</v>
      </c>
      <c r="M223" s="5">
        <v>3</v>
      </c>
      <c r="N223" s="5" t="s">
        <v>3</v>
      </c>
      <c r="O223" s="5">
        <v>2</v>
      </c>
      <c r="P223" s="5">
        <f>ROUND(Source!ES203,O223)</f>
        <v>0</v>
      </c>
      <c r="Q223" s="5"/>
      <c r="R223" s="5"/>
      <c r="S223" s="5"/>
      <c r="T223" s="5"/>
      <c r="U223" s="5"/>
      <c r="V223" s="5"/>
      <c r="W223" s="5"/>
    </row>
    <row r="224" spans="1:23" x14ac:dyDescent="0.2">
      <c r="A224" s="5">
        <v>50</v>
      </c>
      <c r="B224" s="5">
        <v>0</v>
      </c>
      <c r="C224" s="5">
        <v>0</v>
      </c>
      <c r="D224" s="5">
        <v>1</v>
      </c>
      <c r="E224" s="5">
        <v>206</v>
      </c>
      <c r="F224" s="5">
        <f>ROUND(Source!T203,O224)</f>
        <v>0</v>
      </c>
      <c r="G224" s="5" t="s">
        <v>111</v>
      </c>
      <c r="H224" s="5" t="s">
        <v>112</v>
      </c>
      <c r="I224" s="5"/>
      <c r="J224" s="5"/>
      <c r="K224" s="5">
        <v>206</v>
      </c>
      <c r="L224" s="5">
        <v>20</v>
      </c>
      <c r="M224" s="5">
        <v>3</v>
      </c>
      <c r="N224" s="5" t="s">
        <v>3</v>
      </c>
      <c r="O224" s="5">
        <v>2</v>
      </c>
      <c r="P224" s="5">
        <f>ROUND(Source!DL203,O224)</f>
        <v>0</v>
      </c>
      <c r="Q224" s="5"/>
      <c r="R224" s="5"/>
      <c r="S224" s="5"/>
      <c r="T224" s="5"/>
      <c r="U224" s="5"/>
      <c r="V224" s="5"/>
      <c r="W224" s="5"/>
    </row>
    <row r="225" spans="1:206" x14ac:dyDescent="0.2">
      <c r="A225" s="5">
        <v>50</v>
      </c>
      <c r="B225" s="5">
        <v>0</v>
      </c>
      <c r="C225" s="5">
        <v>0</v>
      </c>
      <c r="D225" s="5">
        <v>1</v>
      </c>
      <c r="E225" s="5">
        <v>207</v>
      </c>
      <c r="F225" s="5">
        <f>Source!U203</f>
        <v>375.46125959999995</v>
      </c>
      <c r="G225" s="5" t="s">
        <v>113</v>
      </c>
      <c r="H225" s="5" t="s">
        <v>114</v>
      </c>
      <c r="I225" s="5"/>
      <c r="J225" s="5"/>
      <c r="K225" s="5">
        <v>207</v>
      </c>
      <c r="L225" s="5">
        <v>21</v>
      </c>
      <c r="M225" s="5">
        <v>3</v>
      </c>
      <c r="N225" s="5" t="s">
        <v>3</v>
      </c>
      <c r="O225" s="5">
        <v>-1</v>
      </c>
      <c r="P225" s="5">
        <f>Source!DM203</f>
        <v>375.46125959999995</v>
      </c>
      <c r="Q225" s="5"/>
      <c r="R225" s="5"/>
      <c r="S225" s="5"/>
      <c r="T225" s="5"/>
      <c r="U225" s="5"/>
      <c r="V225" s="5"/>
      <c r="W225" s="5"/>
    </row>
    <row r="226" spans="1:206" x14ac:dyDescent="0.2">
      <c r="A226" s="5">
        <v>50</v>
      </c>
      <c r="B226" s="5">
        <v>0</v>
      </c>
      <c r="C226" s="5">
        <v>0</v>
      </c>
      <c r="D226" s="5">
        <v>1</v>
      </c>
      <c r="E226" s="5">
        <v>208</v>
      </c>
      <c r="F226" s="5">
        <f>Source!V203</f>
        <v>0</v>
      </c>
      <c r="G226" s="5" t="s">
        <v>115</v>
      </c>
      <c r="H226" s="5" t="s">
        <v>116</v>
      </c>
      <c r="I226" s="5"/>
      <c r="J226" s="5"/>
      <c r="K226" s="5">
        <v>208</v>
      </c>
      <c r="L226" s="5">
        <v>22</v>
      </c>
      <c r="M226" s="5">
        <v>3</v>
      </c>
      <c r="N226" s="5" t="s">
        <v>3</v>
      </c>
      <c r="O226" s="5">
        <v>-1</v>
      </c>
      <c r="P226" s="5">
        <f>Source!DN203</f>
        <v>0</v>
      </c>
      <c r="Q226" s="5"/>
      <c r="R226" s="5"/>
      <c r="S226" s="5"/>
      <c r="T226" s="5"/>
      <c r="U226" s="5"/>
      <c r="V226" s="5"/>
      <c r="W226" s="5"/>
    </row>
    <row r="227" spans="1:206" x14ac:dyDescent="0.2">
      <c r="A227" s="5">
        <v>50</v>
      </c>
      <c r="B227" s="5">
        <v>0</v>
      </c>
      <c r="C227" s="5">
        <v>0</v>
      </c>
      <c r="D227" s="5">
        <v>1</v>
      </c>
      <c r="E227" s="5">
        <v>209</v>
      </c>
      <c r="F227" s="5">
        <f>ROUND(Source!W203,O227)</f>
        <v>0</v>
      </c>
      <c r="G227" s="5" t="s">
        <v>117</v>
      </c>
      <c r="H227" s="5" t="s">
        <v>118</v>
      </c>
      <c r="I227" s="5"/>
      <c r="J227" s="5"/>
      <c r="K227" s="5">
        <v>209</v>
      </c>
      <c r="L227" s="5">
        <v>23</v>
      </c>
      <c r="M227" s="5">
        <v>3</v>
      </c>
      <c r="N227" s="5" t="s">
        <v>3</v>
      </c>
      <c r="O227" s="5">
        <v>2</v>
      </c>
      <c r="P227" s="5">
        <f>ROUND(Source!DO203,O227)</f>
        <v>0</v>
      </c>
      <c r="Q227" s="5"/>
      <c r="R227" s="5"/>
      <c r="S227" s="5"/>
      <c r="T227" s="5"/>
      <c r="U227" s="5"/>
      <c r="V227" s="5"/>
      <c r="W227" s="5"/>
    </row>
    <row r="228" spans="1:206" x14ac:dyDescent="0.2">
      <c r="A228" s="5">
        <v>50</v>
      </c>
      <c r="B228" s="5">
        <v>0</v>
      </c>
      <c r="C228" s="5">
        <v>0</v>
      </c>
      <c r="D228" s="5">
        <v>1</v>
      </c>
      <c r="E228" s="5">
        <v>233</v>
      </c>
      <c r="F228" s="5">
        <f>ROUND(Source!BD203,O228)</f>
        <v>0</v>
      </c>
      <c r="G228" s="5" t="s">
        <v>119</v>
      </c>
      <c r="H228" s="5" t="s">
        <v>120</v>
      </c>
      <c r="I228" s="5"/>
      <c r="J228" s="5"/>
      <c r="K228" s="5">
        <v>233</v>
      </c>
      <c r="L228" s="5">
        <v>24</v>
      </c>
      <c r="M228" s="5">
        <v>3</v>
      </c>
      <c r="N228" s="5" t="s">
        <v>3</v>
      </c>
      <c r="O228" s="5">
        <v>2</v>
      </c>
      <c r="P228" s="5">
        <f>ROUND(Source!EV203,O228)</f>
        <v>0</v>
      </c>
      <c r="Q228" s="5"/>
      <c r="R228" s="5"/>
      <c r="S228" s="5"/>
      <c r="T228" s="5"/>
      <c r="U228" s="5"/>
      <c r="V228" s="5"/>
      <c r="W228" s="5"/>
    </row>
    <row r="229" spans="1:206" x14ac:dyDescent="0.2">
      <c r="A229" s="5">
        <v>50</v>
      </c>
      <c r="B229" s="5">
        <v>0</v>
      </c>
      <c r="C229" s="5">
        <v>0</v>
      </c>
      <c r="D229" s="5">
        <v>1</v>
      </c>
      <c r="E229" s="5">
        <v>210</v>
      </c>
      <c r="F229" s="5">
        <f>ROUND(Source!X203,O229)</f>
        <v>5749.91</v>
      </c>
      <c r="G229" s="5" t="s">
        <v>121</v>
      </c>
      <c r="H229" s="5" t="s">
        <v>122</v>
      </c>
      <c r="I229" s="5"/>
      <c r="J229" s="5"/>
      <c r="K229" s="5">
        <v>210</v>
      </c>
      <c r="L229" s="5">
        <v>25</v>
      </c>
      <c r="M229" s="5">
        <v>3</v>
      </c>
      <c r="N229" s="5" t="s">
        <v>3</v>
      </c>
      <c r="O229" s="5">
        <v>2</v>
      </c>
      <c r="P229" s="5">
        <f>ROUND(Source!DP203,O229)</f>
        <v>108387.81</v>
      </c>
      <c r="Q229" s="5"/>
      <c r="R229" s="5"/>
      <c r="S229" s="5"/>
      <c r="T229" s="5"/>
      <c r="U229" s="5"/>
      <c r="V229" s="5"/>
      <c r="W229" s="5"/>
    </row>
    <row r="230" spans="1:206" x14ac:dyDescent="0.2">
      <c r="A230" s="5">
        <v>50</v>
      </c>
      <c r="B230" s="5">
        <v>0</v>
      </c>
      <c r="C230" s="5">
        <v>0</v>
      </c>
      <c r="D230" s="5">
        <v>1</v>
      </c>
      <c r="E230" s="5">
        <v>211</v>
      </c>
      <c r="F230" s="5">
        <f>ROUND(Source!Y203,O230)</f>
        <v>3602.9</v>
      </c>
      <c r="G230" s="5" t="s">
        <v>123</v>
      </c>
      <c r="H230" s="5" t="s">
        <v>124</v>
      </c>
      <c r="I230" s="5"/>
      <c r="J230" s="5"/>
      <c r="K230" s="5">
        <v>211</v>
      </c>
      <c r="L230" s="5">
        <v>26</v>
      </c>
      <c r="M230" s="5">
        <v>3</v>
      </c>
      <c r="N230" s="5" t="s">
        <v>3</v>
      </c>
      <c r="O230" s="5">
        <v>2</v>
      </c>
      <c r="P230" s="5">
        <f>ROUND(Source!DQ203,O230)</f>
        <v>48349.14</v>
      </c>
      <c r="Q230" s="5"/>
      <c r="R230" s="5"/>
      <c r="S230" s="5"/>
      <c r="T230" s="5"/>
      <c r="U230" s="5"/>
      <c r="V230" s="5"/>
      <c r="W230" s="5"/>
    </row>
    <row r="231" spans="1:206" x14ac:dyDescent="0.2">
      <c r="A231" s="5">
        <v>50</v>
      </c>
      <c r="B231" s="5">
        <v>0</v>
      </c>
      <c r="C231" s="5">
        <v>0</v>
      </c>
      <c r="D231" s="5">
        <v>1</v>
      </c>
      <c r="E231" s="5">
        <v>0</v>
      </c>
      <c r="F231" s="5">
        <f>ROUND(Source!AR203,O231)</f>
        <v>306129.7</v>
      </c>
      <c r="G231" s="5" t="s">
        <v>125</v>
      </c>
      <c r="H231" s="5" t="s">
        <v>126</v>
      </c>
      <c r="I231" s="5"/>
      <c r="J231" s="5"/>
      <c r="K231" s="5">
        <v>224</v>
      </c>
      <c r="L231" s="5">
        <v>27</v>
      </c>
      <c r="M231" s="5">
        <v>3</v>
      </c>
      <c r="N231" s="5" t="s">
        <v>3</v>
      </c>
      <c r="O231" s="5">
        <v>2</v>
      </c>
      <c r="P231" s="5">
        <f>ROUND(Source!EJ203,O231)</f>
        <v>1098343.53</v>
      </c>
      <c r="Q231" s="5"/>
      <c r="R231" s="5"/>
      <c r="S231" s="5"/>
      <c r="T231" s="5"/>
      <c r="U231" s="5"/>
      <c r="V231" s="5"/>
      <c r="W231" s="5"/>
    </row>
    <row r="232" spans="1:206" x14ac:dyDescent="0.2">
      <c r="A232" s="5">
        <v>50</v>
      </c>
      <c r="B232" s="5">
        <v>1</v>
      </c>
      <c r="C232" s="5">
        <v>0</v>
      </c>
      <c r="D232" s="5">
        <v>2</v>
      </c>
      <c r="E232" s="5">
        <v>0</v>
      </c>
      <c r="F232" s="5">
        <f>ROUND(F231*0.2,O232)</f>
        <v>61225.94</v>
      </c>
      <c r="G232" s="5" t="s">
        <v>251</v>
      </c>
      <c r="H232" s="5" t="s">
        <v>252</v>
      </c>
      <c r="I232" s="5"/>
      <c r="J232" s="5"/>
      <c r="K232" s="5">
        <v>212</v>
      </c>
      <c r="L232" s="5">
        <v>28</v>
      </c>
      <c r="M232" s="5">
        <v>0</v>
      </c>
      <c r="N232" s="5" t="s">
        <v>3</v>
      </c>
      <c r="O232" s="5">
        <v>2</v>
      </c>
      <c r="P232" s="5">
        <f>ROUND(P231*0.2,O232)</f>
        <v>219668.71</v>
      </c>
      <c r="Q232" s="5"/>
      <c r="R232" s="5"/>
      <c r="S232" s="5"/>
      <c r="T232" s="5"/>
      <c r="U232" s="5"/>
      <c r="V232" s="5"/>
      <c r="W232" s="5"/>
    </row>
    <row r="233" spans="1:206" x14ac:dyDescent="0.2">
      <c r="A233" s="5">
        <v>50</v>
      </c>
      <c r="B233" s="5">
        <v>1</v>
      </c>
      <c r="C233" s="5">
        <v>0</v>
      </c>
      <c r="D233" s="5">
        <v>2</v>
      </c>
      <c r="E233" s="5">
        <v>224</v>
      </c>
      <c r="F233" s="5">
        <f>ROUND(F231+F232,O233)</f>
        <v>367355.64</v>
      </c>
      <c r="G233" s="5" t="s">
        <v>253</v>
      </c>
      <c r="H233" s="5" t="s">
        <v>254</v>
      </c>
      <c r="I233" s="5"/>
      <c r="J233" s="5"/>
      <c r="K233" s="5">
        <v>212</v>
      </c>
      <c r="L233" s="5">
        <v>29</v>
      </c>
      <c r="M233" s="5">
        <v>0</v>
      </c>
      <c r="N233" s="5" t="s">
        <v>3</v>
      </c>
      <c r="O233" s="5">
        <v>2</v>
      </c>
      <c r="P233" s="5">
        <f>ROUND(P231+P232,O233)</f>
        <v>1318012.24</v>
      </c>
      <c r="Q233" s="5"/>
      <c r="R233" s="5"/>
      <c r="S233" s="5"/>
      <c r="T233" s="5"/>
      <c r="U233" s="5"/>
      <c r="V233" s="5"/>
      <c r="W233" s="5"/>
    </row>
    <row r="235" spans="1:206" x14ac:dyDescent="0.2">
      <c r="A235" s="3">
        <v>51</v>
      </c>
      <c r="B235" s="3">
        <f>B12</f>
        <v>272</v>
      </c>
      <c r="C235" s="3">
        <f>A12</f>
        <v>1</v>
      </c>
      <c r="D235" s="3">
        <f>ROW(A12)</f>
        <v>12</v>
      </c>
      <c r="E235" s="3"/>
      <c r="F235" s="3" t="str">
        <f>IF(F12&lt;&gt;"",F12,"")</f>
        <v>Новый объект</v>
      </c>
      <c r="G235" s="3" t="str">
        <f>IF(G12&lt;&gt;"",G12,"")</f>
        <v>Ремонт АБП в Новослободском парке</v>
      </c>
      <c r="H235" s="3">
        <v>0</v>
      </c>
      <c r="I235" s="3"/>
      <c r="J235" s="3"/>
      <c r="K235" s="3"/>
      <c r="L235" s="3"/>
      <c r="M235" s="3"/>
      <c r="N235" s="3"/>
      <c r="O235" s="3">
        <f t="shared" ref="O235:T235" si="178">ROUND(O203,2)</f>
        <v>296322.8</v>
      </c>
      <c r="P235" s="3">
        <f t="shared" si="178"/>
        <v>283066.15000000002</v>
      </c>
      <c r="Q235" s="3">
        <f t="shared" si="178"/>
        <v>9020.44</v>
      </c>
      <c r="R235" s="3">
        <f t="shared" si="178"/>
        <v>259.47000000000003</v>
      </c>
      <c r="S235" s="3">
        <f t="shared" si="178"/>
        <v>4236.21</v>
      </c>
      <c r="T235" s="3">
        <f t="shared" si="178"/>
        <v>0</v>
      </c>
      <c r="U235" s="3">
        <f>U203</f>
        <v>375.46125959999995</v>
      </c>
      <c r="V235" s="3">
        <f>V203</f>
        <v>0</v>
      </c>
      <c r="W235" s="3">
        <f>ROUND(W203,2)</f>
        <v>0</v>
      </c>
      <c r="X235" s="3">
        <f>ROUND(X203,2)</f>
        <v>5749.91</v>
      </c>
      <c r="Y235" s="3">
        <f>ROUND(Y203,2)</f>
        <v>3602.9</v>
      </c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>
        <f t="shared" ref="AO235:BD235" si="179">ROUND(AO203,2)</f>
        <v>0</v>
      </c>
      <c r="AP235" s="3">
        <f t="shared" si="179"/>
        <v>0</v>
      </c>
      <c r="AQ235" s="3">
        <f t="shared" si="179"/>
        <v>0</v>
      </c>
      <c r="AR235" s="3">
        <f t="shared" si="179"/>
        <v>306129.7</v>
      </c>
      <c r="AS235" s="3">
        <f t="shared" si="179"/>
        <v>298677.96000000002</v>
      </c>
      <c r="AT235" s="3">
        <f t="shared" si="179"/>
        <v>0</v>
      </c>
      <c r="AU235" s="3">
        <f t="shared" si="179"/>
        <v>7451.74</v>
      </c>
      <c r="AV235" s="3">
        <f t="shared" si="179"/>
        <v>283066.15000000002</v>
      </c>
      <c r="AW235" s="3">
        <f t="shared" si="179"/>
        <v>283066.15000000002</v>
      </c>
      <c r="AX235" s="3">
        <f t="shared" si="179"/>
        <v>0</v>
      </c>
      <c r="AY235" s="3">
        <f t="shared" si="179"/>
        <v>283066.15000000002</v>
      </c>
      <c r="AZ235" s="3">
        <f t="shared" si="179"/>
        <v>0</v>
      </c>
      <c r="BA235" s="3">
        <f t="shared" si="179"/>
        <v>0</v>
      </c>
      <c r="BB235" s="3">
        <f t="shared" si="179"/>
        <v>0</v>
      </c>
      <c r="BC235" s="3">
        <f t="shared" si="179"/>
        <v>0</v>
      </c>
      <c r="BD235" s="3">
        <f t="shared" si="179"/>
        <v>0</v>
      </c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4">
        <f t="shared" ref="DG235:DL235" si="180">ROUND(DG203,2)</f>
        <v>931373.79</v>
      </c>
      <c r="DH235" s="4">
        <f t="shared" si="180"/>
        <v>737851.9</v>
      </c>
      <c r="DI235" s="4">
        <f t="shared" si="180"/>
        <v>87065.93</v>
      </c>
      <c r="DJ235" s="4">
        <f t="shared" si="180"/>
        <v>6517.71</v>
      </c>
      <c r="DK235" s="4">
        <f t="shared" si="180"/>
        <v>106455.96</v>
      </c>
      <c r="DL235" s="4">
        <f t="shared" si="180"/>
        <v>0</v>
      </c>
      <c r="DM235" s="4">
        <f>DM203</f>
        <v>375.46125959999995</v>
      </c>
      <c r="DN235" s="4">
        <f>DN203</f>
        <v>0</v>
      </c>
      <c r="DO235" s="4">
        <f>ROUND(DO203,2)</f>
        <v>0</v>
      </c>
      <c r="DP235" s="4">
        <f>ROUND(DP203,2)</f>
        <v>108387.81</v>
      </c>
      <c r="DQ235" s="4">
        <f>ROUND(DQ203,2)</f>
        <v>48349.14</v>
      </c>
      <c r="DR235" s="4"/>
      <c r="DS235" s="4"/>
      <c r="DT235" s="4"/>
      <c r="DU235" s="4"/>
      <c r="DV235" s="4"/>
      <c r="DW235" s="4"/>
      <c r="DX235" s="4"/>
      <c r="DY235" s="4"/>
      <c r="DZ235" s="4"/>
      <c r="EA235" s="4"/>
      <c r="EB235" s="4"/>
      <c r="EC235" s="4"/>
      <c r="ED235" s="4"/>
      <c r="EE235" s="4"/>
      <c r="EF235" s="4"/>
      <c r="EG235" s="4">
        <f t="shared" ref="EG235:EV235" si="181">ROUND(EG203,2)</f>
        <v>0</v>
      </c>
      <c r="EH235" s="4">
        <f t="shared" si="181"/>
        <v>0</v>
      </c>
      <c r="EI235" s="4">
        <f t="shared" si="181"/>
        <v>0</v>
      </c>
      <c r="EJ235" s="4">
        <f t="shared" si="181"/>
        <v>1098343.53</v>
      </c>
      <c r="EK235" s="4">
        <f t="shared" si="181"/>
        <v>1026198.88</v>
      </c>
      <c r="EL235" s="4">
        <f t="shared" si="181"/>
        <v>0</v>
      </c>
      <c r="EM235" s="4">
        <f t="shared" si="181"/>
        <v>72144.649999999994</v>
      </c>
      <c r="EN235" s="4">
        <f t="shared" si="181"/>
        <v>737851.9</v>
      </c>
      <c r="EO235" s="4">
        <f t="shared" si="181"/>
        <v>737851.9</v>
      </c>
      <c r="EP235" s="4">
        <f t="shared" si="181"/>
        <v>0</v>
      </c>
      <c r="EQ235" s="4">
        <f t="shared" si="181"/>
        <v>737851.9</v>
      </c>
      <c r="ER235" s="4">
        <f t="shared" si="181"/>
        <v>0</v>
      </c>
      <c r="ES235" s="4">
        <f t="shared" si="181"/>
        <v>0</v>
      </c>
      <c r="ET235" s="4">
        <f t="shared" si="181"/>
        <v>0</v>
      </c>
      <c r="EU235" s="4">
        <f t="shared" si="181"/>
        <v>0</v>
      </c>
      <c r="EV235" s="4">
        <f t="shared" si="181"/>
        <v>0</v>
      </c>
      <c r="EW235" s="4"/>
      <c r="EX235" s="4"/>
      <c r="EY235" s="4"/>
      <c r="EZ235" s="4"/>
      <c r="FA235" s="4"/>
      <c r="FB235" s="4"/>
      <c r="FC235" s="4"/>
      <c r="FD235" s="4"/>
      <c r="FE235" s="4"/>
      <c r="FF235" s="4"/>
      <c r="FG235" s="4"/>
      <c r="FH235" s="4"/>
      <c r="FI235" s="4"/>
      <c r="FJ235" s="4"/>
      <c r="FK235" s="4"/>
      <c r="FL235" s="4"/>
      <c r="FM235" s="4"/>
      <c r="FN235" s="4"/>
      <c r="FO235" s="4"/>
      <c r="FP235" s="4"/>
      <c r="FQ235" s="4"/>
      <c r="FR235" s="4"/>
      <c r="FS235" s="4"/>
      <c r="FT235" s="4"/>
      <c r="FU235" s="4"/>
      <c r="FV235" s="4"/>
      <c r="FW235" s="4"/>
      <c r="FX235" s="4"/>
      <c r="FY235" s="4"/>
      <c r="FZ235" s="4"/>
      <c r="GA235" s="4"/>
      <c r="GB235" s="4"/>
      <c r="GC235" s="4"/>
      <c r="GD235" s="4"/>
      <c r="GE235" s="4"/>
      <c r="GF235" s="4"/>
      <c r="GG235" s="4"/>
      <c r="GH235" s="4"/>
      <c r="GI235" s="4"/>
      <c r="GJ235" s="4"/>
      <c r="GK235" s="4"/>
      <c r="GL235" s="4"/>
      <c r="GM235" s="4"/>
      <c r="GN235" s="4"/>
      <c r="GO235" s="4"/>
      <c r="GP235" s="4"/>
      <c r="GQ235" s="4"/>
      <c r="GR235" s="4"/>
      <c r="GS235" s="4"/>
      <c r="GT235" s="4"/>
      <c r="GU235" s="4"/>
      <c r="GV235" s="4"/>
      <c r="GW235" s="4"/>
      <c r="GX235" s="4">
        <v>0</v>
      </c>
    </row>
    <row r="237" spans="1:206" x14ac:dyDescent="0.2">
      <c r="A237" s="5">
        <v>50</v>
      </c>
      <c r="B237" s="5">
        <v>0</v>
      </c>
      <c r="C237" s="5">
        <v>0</v>
      </c>
      <c r="D237" s="5">
        <v>1</v>
      </c>
      <c r="E237" s="5">
        <v>201</v>
      </c>
      <c r="F237" s="5">
        <f>ROUND(Source!O235,O237)</f>
        <v>296322.8</v>
      </c>
      <c r="G237" s="5" t="s">
        <v>73</v>
      </c>
      <c r="H237" s="5" t="s">
        <v>74</v>
      </c>
      <c r="I237" s="5"/>
      <c r="J237" s="5"/>
      <c r="K237" s="5">
        <v>201</v>
      </c>
      <c r="L237" s="5">
        <v>1</v>
      </c>
      <c r="M237" s="5">
        <v>3</v>
      </c>
      <c r="N237" s="5" t="s">
        <v>3</v>
      </c>
      <c r="O237" s="5">
        <v>2</v>
      </c>
      <c r="P237" s="5">
        <f>ROUND(Source!DG235,O237)</f>
        <v>931373.79</v>
      </c>
      <c r="Q237" s="5"/>
      <c r="R237" s="5"/>
      <c r="S237" s="5"/>
      <c r="T237" s="5"/>
      <c r="U237" s="5"/>
      <c r="V237" s="5"/>
      <c r="W237" s="5"/>
    </row>
    <row r="238" spans="1:206" x14ac:dyDescent="0.2">
      <c r="A238" s="5">
        <v>50</v>
      </c>
      <c r="B238" s="5">
        <v>0</v>
      </c>
      <c r="C238" s="5">
        <v>0</v>
      </c>
      <c r="D238" s="5">
        <v>1</v>
      </c>
      <c r="E238" s="5">
        <v>202</v>
      </c>
      <c r="F238" s="5">
        <f>ROUND(Source!P235,O238)</f>
        <v>283066.15000000002</v>
      </c>
      <c r="G238" s="5" t="s">
        <v>75</v>
      </c>
      <c r="H238" s="5" t="s">
        <v>76</v>
      </c>
      <c r="I238" s="5"/>
      <c r="J238" s="5"/>
      <c r="K238" s="5">
        <v>202</v>
      </c>
      <c r="L238" s="5">
        <v>2</v>
      </c>
      <c r="M238" s="5">
        <v>3</v>
      </c>
      <c r="N238" s="5" t="s">
        <v>3</v>
      </c>
      <c r="O238" s="5">
        <v>2</v>
      </c>
      <c r="P238" s="5">
        <f>ROUND(Source!DH235,O238)</f>
        <v>737851.9</v>
      </c>
      <c r="Q238" s="5"/>
      <c r="R238" s="5"/>
      <c r="S238" s="5"/>
      <c r="T238" s="5"/>
      <c r="U238" s="5"/>
      <c r="V238" s="5"/>
      <c r="W238" s="5"/>
    </row>
    <row r="239" spans="1:206" x14ac:dyDescent="0.2">
      <c r="A239" s="5">
        <v>50</v>
      </c>
      <c r="B239" s="5">
        <v>0</v>
      </c>
      <c r="C239" s="5">
        <v>0</v>
      </c>
      <c r="D239" s="5">
        <v>1</v>
      </c>
      <c r="E239" s="5">
        <v>222</v>
      </c>
      <c r="F239" s="5">
        <f>ROUND(Source!AO235,O239)</f>
        <v>0</v>
      </c>
      <c r="G239" s="5" t="s">
        <v>77</v>
      </c>
      <c r="H239" s="5" t="s">
        <v>78</v>
      </c>
      <c r="I239" s="5"/>
      <c r="J239" s="5"/>
      <c r="K239" s="5">
        <v>222</v>
      </c>
      <c r="L239" s="5">
        <v>3</v>
      </c>
      <c r="M239" s="5">
        <v>3</v>
      </c>
      <c r="N239" s="5" t="s">
        <v>3</v>
      </c>
      <c r="O239" s="5">
        <v>2</v>
      </c>
      <c r="P239" s="5">
        <f>ROUND(Source!EG235,O239)</f>
        <v>0</v>
      </c>
      <c r="Q239" s="5"/>
      <c r="R239" s="5"/>
      <c r="S239" s="5"/>
      <c r="T239" s="5"/>
      <c r="U239" s="5"/>
      <c r="V239" s="5"/>
      <c r="W239" s="5"/>
    </row>
    <row r="240" spans="1:206" x14ac:dyDescent="0.2">
      <c r="A240" s="5">
        <v>50</v>
      </c>
      <c r="B240" s="5">
        <v>0</v>
      </c>
      <c r="C240" s="5">
        <v>0</v>
      </c>
      <c r="D240" s="5">
        <v>1</v>
      </c>
      <c r="E240" s="5">
        <v>225</v>
      </c>
      <c r="F240" s="5">
        <f>ROUND(Source!AV235,O240)</f>
        <v>283066.15000000002</v>
      </c>
      <c r="G240" s="5" t="s">
        <v>79</v>
      </c>
      <c r="H240" s="5" t="s">
        <v>80</v>
      </c>
      <c r="I240" s="5"/>
      <c r="J240" s="5"/>
      <c r="K240" s="5">
        <v>225</v>
      </c>
      <c r="L240" s="5">
        <v>4</v>
      </c>
      <c r="M240" s="5">
        <v>3</v>
      </c>
      <c r="N240" s="5" t="s">
        <v>3</v>
      </c>
      <c r="O240" s="5">
        <v>2</v>
      </c>
      <c r="P240" s="5">
        <f>ROUND(Source!EN235,O240)</f>
        <v>737851.9</v>
      </c>
      <c r="Q240" s="5"/>
      <c r="R240" s="5"/>
      <c r="S240" s="5"/>
      <c r="T240" s="5"/>
      <c r="U240" s="5"/>
      <c r="V240" s="5"/>
      <c r="W240" s="5"/>
    </row>
    <row r="241" spans="1:23" x14ac:dyDescent="0.2">
      <c r="A241" s="5">
        <v>50</v>
      </c>
      <c r="B241" s="5">
        <v>0</v>
      </c>
      <c r="C241" s="5">
        <v>0</v>
      </c>
      <c r="D241" s="5">
        <v>1</v>
      </c>
      <c r="E241" s="5">
        <v>226</v>
      </c>
      <c r="F241" s="5">
        <f>ROUND(Source!AW235,O241)</f>
        <v>283066.15000000002</v>
      </c>
      <c r="G241" s="5" t="s">
        <v>81</v>
      </c>
      <c r="H241" s="5" t="s">
        <v>82</v>
      </c>
      <c r="I241" s="5"/>
      <c r="J241" s="5"/>
      <c r="K241" s="5">
        <v>226</v>
      </c>
      <c r="L241" s="5">
        <v>5</v>
      </c>
      <c r="M241" s="5">
        <v>3</v>
      </c>
      <c r="N241" s="5" t="s">
        <v>3</v>
      </c>
      <c r="O241" s="5">
        <v>2</v>
      </c>
      <c r="P241" s="5">
        <f>ROUND(Source!EO235,O241)</f>
        <v>737851.9</v>
      </c>
      <c r="Q241" s="5"/>
      <c r="R241" s="5"/>
      <c r="S241" s="5"/>
      <c r="T241" s="5"/>
      <c r="U241" s="5"/>
      <c r="V241" s="5"/>
      <c r="W241" s="5"/>
    </row>
    <row r="242" spans="1:23" x14ac:dyDescent="0.2">
      <c r="A242" s="5">
        <v>50</v>
      </c>
      <c r="B242" s="5">
        <v>0</v>
      </c>
      <c r="C242" s="5">
        <v>0</v>
      </c>
      <c r="D242" s="5">
        <v>1</v>
      </c>
      <c r="E242" s="5">
        <v>227</v>
      </c>
      <c r="F242" s="5">
        <f>ROUND(Source!AX235,O242)</f>
        <v>0</v>
      </c>
      <c r="G242" s="5" t="s">
        <v>83</v>
      </c>
      <c r="H242" s="5" t="s">
        <v>84</v>
      </c>
      <c r="I242" s="5"/>
      <c r="J242" s="5"/>
      <c r="K242" s="5">
        <v>227</v>
      </c>
      <c r="L242" s="5">
        <v>6</v>
      </c>
      <c r="M242" s="5">
        <v>3</v>
      </c>
      <c r="N242" s="5" t="s">
        <v>3</v>
      </c>
      <c r="O242" s="5">
        <v>2</v>
      </c>
      <c r="P242" s="5">
        <f>ROUND(Source!EP235,O242)</f>
        <v>0</v>
      </c>
      <c r="Q242" s="5"/>
      <c r="R242" s="5"/>
      <c r="S242" s="5"/>
      <c r="T242" s="5"/>
      <c r="U242" s="5"/>
      <c r="V242" s="5"/>
      <c r="W242" s="5"/>
    </row>
    <row r="243" spans="1:23" x14ac:dyDescent="0.2">
      <c r="A243" s="5">
        <v>50</v>
      </c>
      <c r="B243" s="5">
        <v>0</v>
      </c>
      <c r="C243" s="5">
        <v>0</v>
      </c>
      <c r="D243" s="5">
        <v>1</v>
      </c>
      <c r="E243" s="5">
        <v>228</v>
      </c>
      <c r="F243" s="5">
        <f>ROUND(Source!AY235,O243)</f>
        <v>283066.15000000002</v>
      </c>
      <c r="G243" s="5" t="s">
        <v>85</v>
      </c>
      <c r="H243" s="5" t="s">
        <v>86</v>
      </c>
      <c r="I243" s="5"/>
      <c r="J243" s="5"/>
      <c r="K243" s="5">
        <v>228</v>
      </c>
      <c r="L243" s="5">
        <v>7</v>
      </c>
      <c r="M243" s="5">
        <v>3</v>
      </c>
      <c r="N243" s="5" t="s">
        <v>3</v>
      </c>
      <c r="O243" s="5">
        <v>2</v>
      </c>
      <c r="P243" s="5">
        <f>ROUND(Source!EQ235,O243)</f>
        <v>737851.9</v>
      </c>
      <c r="Q243" s="5"/>
      <c r="R243" s="5"/>
      <c r="S243" s="5"/>
      <c r="T243" s="5"/>
      <c r="U243" s="5"/>
      <c r="V243" s="5"/>
      <c r="W243" s="5"/>
    </row>
    <row r="244" spans="1:23" x14ac:dyDescent="0.2">
      <c r="A244" s="5">
        <v>50</v>
      </c>
      <c r="B244" s="5">
        <v>0</v>
      </c>
      <c r="C244" s="5">
        <v>0</v>
      </c>
      <c r="D244" s="5">
        <v>1</v>
      </c>
      <c r="E244" s="5">
        <v>216</v>
      </c>
      <c r="F244" s="5">
        <f>ROUND(Source!AP235,O244)</f>
        <v>0</v>
      </c>
      <c r="G244" s="5" t="s">
        <v>87</v>
      </c>
      <c r="H244" s="5" t="s">
        <v>88</v>
      </c>
      <c r="I244" s="5"/>
      <c r="J244" s="5"/>
      <c r="K244" s="5">
        <v>216</v>
      </c>
      <c r="L244" s="5">
        <v>8</v>
      </c>
      <c r="M244" s="5">
        <v>3</v>
      </c>
      <c r="N244" s="5" t="s">
        <v>3</v>
      </c>
      <c r="O244" s="5">
        <v>2</v>
      </c>
      <c r="P244" s="5">
        <f>ROUND(Source!EH235,O244)</f>
        <v>0</v>
      </c>
      <c r="Q244" s="5"/>
      <c r="R244" s="5"/>
      <c r="S244" s="5"/>
      <c r="T244" s="5"/>
      <c r="U244" s="5"/>
      <c r="V244" s="5"/>
      <c r="W244" s="5"/>
    </row>
    <row r="245" spans="1:23" x14ac:dyDescent="0.2">
      <c r="A245" s="5">
        <v>50</v>
      </c>
      <c r="B245" s="5">
        <v>0</v>
      </c>
      <c r="C245" s="5">
        <v>0</v>
      </c>
      <c r="D245" s="5">
        <v>1</v>
      </c>
      <c r="E245" s="5">
        <v>223</v>
      </c>
      <c r="F245" s="5">
        <f>ROUND(Source!AQ235,O245)</f>
        <v>0</v>
      </c>
      <c r="G245" s="5" t="s">
        <v>89</v>
      </c>
      <c r="H245" s="5" t="s">
        <v>90</v>
      </c>
      <c r="I245" s="5"/>
      <c r="J245" s="5"/>
      <c r="K245" s="5">
        <v>223</v>
      </c>
      <c r="L245" s="5">
        <v>9</v>
      </c>
      <c r="M245" s="5">
        <v>3</v>
      </c>
      <c r="N245" s="5" t="s">
        <v>3</v>
      </c>
      <c r="O245" s="5">
        <v>2</v>
      </c>
      <c r="P245" s="5">
        <f>ROUND(Source!EI235,O245)</f>
        <v>0</v>
      </c>
      <c r="Q245" s="5"/>
      <c r="R245" s="5"/>
      <c r="S245" s="5"/>
      <c r="T245" s="5"/>
      <c r="U245" s="5"/>
      <c r="V245" s="5"/>
      <c r="W245" s="5"/>
    </row>
    <row r="246" spans="1:23" x14ac:dyDescent="0.2">
      <c r="A246" s="5">
        <v>50</v>
      </c>
      <c r="B246" s="5">
        <v>0</v>
      </c>
      <c r="C246" s="5">
        <v>0</v>
      </c>
      <c r="D246" s="5">
        <v>1</v>
      </c>
      <c r="E246" s="5">
        <v>229</v>
      </c>
      <c r="F246" s="5">
        <f>ROUND(Source!AZ235,O246)</f>
        <v>0</v>
      </c>
      <c r="G246" s="5" t="s">
        <v>91</v>
      </c>
      <c r="H246" s="5" t="s">
        <v>92</v>
      </c>
      <c r="I246" s="5"/>
      <c r="J246" s="5"/>
      <c r="K246" s="5">
        <v>229</v>
      </c>
      <c r="L246" s="5">
        <v>10</v>
      </c>
      <c r="M246" s="5">
        <v>3</v>
      </c>
      <c r="N246" s="5" t="s">
        <v>3</v>
      </c>
      <c r="O246" s="5">
        <v>2</v>
      </c>
      <c r="P246" s="5">
        <f>ROUND(Source!ER235,O246)</f>
        <v>0</v>
      </c>
      <c r="Q246" s="5"/>
      <c r="R246" s="5"/>
      <c r="S246" s="5"/>
      <c r="T246" s="5"/>
      <c r="U246" s="5"/>
      <c r="V246" s="5"/>
      <c r="W246" s="5"/>
    </row>
    <row r="247" spans="1:23" x14ac:dyDescent="0.2">
      <c r="A247" s="5">
        <v>50</v>
      </c>
      <c r="B247" s="5">
        <v>0</v>
      </c>
      <c r="C247" s="5">
        <v>0</v>
      </c>
      <c r="D247" s="5">
        <v>1</v>
      </c>
      <c r="E247" s="5">
        <v>203</v>
      </c>
      <c r="F247" s="5">
        <f>ROUND(Source!Q235,O247)</f>
        <v>9020.44</v>
      </c>
      <c r="G247" s="5" t="s">
        <v>93</v>
      </c>
      <c r="H247" s="5" t="s">
        <v>94</v>
      </c>
      <c r="I247" s="5"/>
      <c r="J247" s="5"/>
      <c r="K247" s="5">
        <v>203</v>
      </c>
      <c r="L247" s="5">
        <v>11</v>
      </c>
      <c r="M247" s="5">
        <v>3</v>
      </c>
      <c r="N247" s="5" t="s">
        <v>3</v>
      </c>
      <c r="O247" s="5">
        <v>2</v>
      </c>
      <c r="P247" s="5">
        <f>ROUND(Source!DI235,O247)</f>
        <v>87065.93</v>
      </c>
      <c r="Q247" s="5"/>
      <c r="R247" s="5"/>
      <c r="S247" s="5"/>
      <c r="T247" s="5"/>
      <c r="U247" s="5"/>
      <c r="V247" s="5"/>
      <c r="W247" s="5"/>
    </row>
    <row r="248" spans="1:23" x14ac:dyDescent="0.2">
      <c r="A248" s="5">
        <v>50</v>
      </c>
      <c r="B248" s="5">
        <v>0</v>
      </c>
      <c r="C248" s="5">
        <v>0</v>
      </c>
      <c r="D248" s="5">
        <v>1</v>
      </c>
      <c r="E248" s="5">
        <v>231</v>
      </c>
      <c r="F248" s="5">
        <f>ROUND(Source!BB235,O248)</f>
        <v>0</v>
      </c>
      <c r="G248" s="5" t="s">
        <v>95</v>
      </c>
      <c r="H248" s="5" t="s">
        <v>96</v>
      </c>
      <c r="I248" s="5"/>
      <c r="J248" s="5"/>
      <c r="K248" s="5">
        <v>231</v>
      </c>
      <c r="L248" s="5">
        <v>12</v>
      </c>
      <c r="M248" s="5">
        <v>3</v>
      </c>
      <c r="N248" s="5" t="s">
        <v>3</v>
      </c>
      <c r="O248" s="5">
        <v>2</v>
      </c>
      <c r="P248" s="5">
        <f>ROUND(Source!ET235,O248)</f>
        <v>0</v>
      </c>
      <c r="Q248" s="5"/>
      <c r="R248" s="5"/>
      <c r="S248" s="5"/>
      <c r="T248" s="5"/>
      <c r="U248" s="5"/>
      <c r="V248" s="5"/>
      <c r="W248" s="5"/>
    </row>
    <row r="249" spans="1:23" x14ac:dyDescent="0.2">
      <c r="A249" s="5">
        <v>50</v>
      </c>
      <c r="B249" s="5">
        <v>0</v>
      </c>
      <c r="C249" s="5">
        <v>0</v>
      </c>
      <c r="D249" s="5">
        <v>1</v>
      </c>
      <c r="E249" s="5">
        <v>204</v>
      </c>
      <c r="F249" s="5">
        <f>ROUND(Source!R235,O249)</f>
        <v>259.47000000000003</v>
      </c>
      <c r="G249" s="5" t="s">
        <v>97</v>
      </c>
      <c r="H249" s="5" t="s">
        <v>98</v>
      </c>
      <c r="I249" s="5"/>
      <c r="J249" s="5"/>
      <c r="K249" s="5">
        <v>204</v>
      </c>
      <c r="L249" s="5">
        <v>13</v>
      </c>
      <c r="M249" s="5">
        <v>3</v>
      </c>
      <c r="N249" s="5" t="s">
        <v>3</v>
      </c>
      <c r="O249" s="5">
        <v>2</v>
      </c>
      <c r="P249" s="5">
        <f>ROUND(Source!DJ235,O249)</f>
        <v>6517.71</v>
      </c>
      <c r="Q249" s="5"/>
      <c r="R249" s="5"/>
      <c r="S249" s="5"/>
      <c r="T249" s="5"/>
      <c r="U249" s="5"/>
      <c r="V249" s="5"/>
      <c r="W249" s="5"/>
    </row>
    <row r="250" spans="1:23" x14ac:dyDescent="0.2">
      <c r="A250" s="5">
        <v>50</v>
      </c>
      <c r="B250" s="5">
        <v>0</v>
      </c>
      <c r="C250" s="5">
        <v>0</v>
      </c>
      <c r="D250" s="5">
        <v>1</v>
      </c>
      <c r="E250" s="5">
        <v>205</v>
      </c>
      <c r="F250" s="5">
        <f>ROUND(Source!S235,O250)</f>
        <v>4236.21</v>
      </c>
      <c r="G250" s="5" t="s">
        <v>99</v>
      </c>
      <c r="H250" s="5" t="s">
        <v>100</v>
      </c>
      <c r="I250" s="5"/>
      <c r="J250" s="5"/>
      <c r="K250" s="5">
        <v>205</v>
      </c>
      <c r="L250" s="5">
        <v>14</v>
      </c>
      <c r="M250" s="5">
        <v>3</v>
      </c>
      <c r="N250" s="5" t="s">
        <v>3</v>
      </c>
      <c r="O250" s="5">
        <v>2</v>
      </c>
      <c r="P250" s="5">
        <f>ROUND(Source!DK235,O250)</f>
        <v>106455.96</v>
      </c>
      <c r="Q250" s="5"/>
      <c r="R250" s="5"/>
      <c r="S250" s="5"/>
      <c r="T250" s="5"/>
      <c r="U250" s="5"/>
      <c r="V250" s="5"/>
      <c r="W250" s="5"/>
    </row>
    <row r="251" spans="1:23" x14ac:dyDescent="0.2">
      <c r="A251" s="5">
        <v>50</v>
      </c>
      <c r="B251" s="5">
        <v>0</v>
      </c>
      <c r="C251" s="5">
        <v>0</v>
      </c>
      <c r="D251" s="5">
        <v>1</v>
      </c>
      <c r="E251" s="5">
        <v>232</v>
      </c>
      <c r="F251" s="5">
        <f>ROUND(Source!BC235,O251)</f>
        <v>0</v>
      </c>
      <c r="G251" s="5" t="s">
        <v>101</v>
      </c>
      <c r="H251" s="5" t="s">
        <v>102</v>
      </c>
      <c r="I251" s="5"/>
      <c r="J251" s="5"/>
      <c r="K251" s="5">
        <v>232</v>
      </c>
      <c r="L251" s="5">
        <v>15</v>
      </c>
      <c r="M251" s="5">
        <v>3</v>
      </c>
      <c r="N251" s="5" t="s">
        <v>3</v>
      </c>
      <c r="O251" s="5">
        <v>2</v>
      </c>
      <c r="P251" s="5">
        <f>ROUND(Source!EU235,O251)</f>
        <v>0</v>
      </c>
      <c r="Q251" s="5"/>
      <c r="R251" s="5"/>
      <c r="S251" s="5"/>
      <c r="T251" s="5"/>
      <c r="U251" s="5"/>
      <c r="V251" s="5"/>
      <c r="W251" s="5"/>
    </row>
    <row r="252" spans="1:23" x14ac:dyDescent="0.2">
      <c r="A252" s="5">
        <v>50</v>
      </c>
      <c r="B252" s="5">
        <v>0</v>
      </c>
      <c r="C252" s="5">
        <v>0</v>
      </c>
      <c r="D252" s="5">
        <v>1</v>
      </c>
      <c r="E252" s="5">
        <v>214</v>
      </c>
      <c r="F252" s="5">
        <f>ROUND(Source!AS235,O252)</f>
        <v>298677.96000000002</v>
      </c>
      <c r="G252" s="5" t="s">
        <v>103</v>
      </c>
      <c r="H252" s="5" t="s">
        <v>104</v>
      </c>
      <c r="I252" s="5"/>
      <c r="J252" s="5"/>
      <c r="K252" s="5">
        <v>214</v>
      </c>
      <c r="L252" s="5">
        <v>16</v>
      </c>
      <c r="M252" s="5">
        <v>3</v>
      </c>
      <c r="N252" s="5" t="s">
        <v>3</v>
      </c>
      <c r="O252" s="5">
        <v>2</v>
      </c>
      <c r="P252" s="5">
        <f>ROUND(Source!EK235,O252)</f>
        <v>1026198.88</v>
      </c>
      <c r="Q252" s="5"/>
      <c r="R252" s="5"/>
      <c r="S252" s="5"/>
      <c r="T252" s="5"/>
      <c r="U252" s="5"/>
      <c r="V252" s="5"/>
      <c r="W252" s="5"/>
    </row>
    <row r="253" spans="1:23" x14ac:dyDescent="0.2">
      <c r="A253" s="5">
        <v>50</v>
      </c>
      <c r="B253" s="5">
        <v>0</v>
      </c>
      <c r="C253" s="5">
        <v>0</v>
      </c>
      <c r="D253" s="5">
        <v>1</v>
      </c>
      <c r="E253" s="5">
        <v>215</v>
      </c>
      <c r="F253" s="5">
        <f>ROUND(Source!AT235,O253)</f>
        <v>0</v>
      </c>
      <c r="G253" s="5" t="s">
        <v>105</v>
      </c>
      <c r="H253" s="5" t="s">
        <v>106</v>
      </c>
      <c r="I253" s="5"/>
      <c r="J253" s="5"/>
      <c r="K253" s="5">
        <v>215</v>
      </c>
      <c r="L253" s="5">
        <v>17</v>
      </c>
      <c r="M253" s="5">
        <v>3</v>
      </c>
      <c r="N253" s="5" t="s">
        <v>3</v>
      </c>
      <c r="O253" s="5">
        <v>2</v>
      </c>
      <c r="P253" s="5">
        <f>ROUND(Source!EL235,O253)</f>
        <v>0</v>
      </c>
      <c r="Q253" s="5"/>
      <c r="R253" s="5"/>
      <c r="S253" s="5"/>
      <c r="T253" s="5"/>
      <c r="U253" s="5"/>
      <c r="V253" s="5"/>
      <c r="W253" s="5"/>
    </row>
    <row r="254" spans="1:23" x14ac:dyDescent="0.2">
      <c r="A254" s="5">
        <v>50</v>
      </c>
      <c r="B254" s="5">
        <v>0</v>
      </c>
      <c r="C254" s="5">
        <v>0</v>
      </c>
      <c r="D254" s="5">
        <v>1</v>
      </c>
      <c r="E254" s="5">
        <v>217</v>
      </c>
      <c r="F254" s="5">
        <f>ROUND(Source!AU235,O254)</f>
        <v>7451.74</v>
      </c>
      <c r="G254" s="5" t="s">
        <v>107</v>
      </c>
      <c r="H254" s="5" t="s">
        <v>108</v>
      </c>
      <c r="I254" s="5"/>
      <c r="J254" s="5"/>
      <c r="K254" s="5">
        <v>217</v>
      </c>
      <c r="L254" s="5">
        <v>18</v>
      </c>
      <c r="M254" s="5">
        <v>3</v>
      </c>
      <c r="N254" s="5" t="s">
        <v>3</v>
      </c>
      <c r="O254" s="5">
        <v>2</v>
      </c>
      <c r="P254" s="5">
        <f>ROUND(Source!EM235,O254)</f>
        <v>72144.649999999994</v>
      </c>
      <c r="Q254" s="5"/>
      <c r="R254" s="5"/>
      <c r="S254" s="5"/>
      <c r="T254" s="5"/>
      <c r="U254" s="5"/>
      <c r="V254" s="5"/>
      <c r="W254" s="5"/>
    </row>
    <row r="255" spans="1:23" x14ac:dyDescent="0.2">
      <c r="A255" s="5">
        <v>50</v>
      </c>
      <c r="B255" s="5">
        <v>0</v>
      </c>
      <c r="C255" s="5">
        <v>0</v>
      </c>
      <c r="D255" s="5">
        <v>1</v>
      </c>
      <c r="E255" s="5">
        <v>230</v>
      </c>
      <c r="F255" s="5">
        <f>ROUND(Source!BA235,O255)</f>
        <v>0</v>
      </c>
      <c r="G255" s="5" t="s">
        <v>109</v>
      </c>
      <c r="H255" s="5" t="s">
        <v>110</v>
      </c>
      <c r="I255" s="5"/>
      <c r="J255" s="5"/>
      <c r="K255" s="5">
        <v>230</v>
      </c>
      <c r="L255" s="5">
        <v>19</v>
      </c>
      <c r="M255" s="5">
        <v>3</v>
      </c>
      <c r="N255" s="5" t="s">
        <v>3</v>
      </c>
      <c r="O255" s="5">
        <v>2</v>
      </c>
      <c r="P255" s="5">
        <f>ROUND(Source!ES235,O255)</f>
        <v>0</v>
      </c>
      <c r="Q255" s="5"/>
      <c r="R255" s="5"/>
      <c r="S255" s="5"/>
      <c r="T255" s="5"/>
      <c r="U255" s="5"/>
      <c r="V255" s="5"/>
      <c r="W255" s="5"/>
    </row>
    <row r="256" spans="1:23" x14ac:dyDescent="0.2">
      <c r="A256" s="5">
        <v>50</v>
      </c>
      <c r="B256" s="5">
        <v>0</v>
      </c>
      <c r="C256" s="5">
        <v>0</v>
      </c>
      <c r="D256" s="5">
        <v>1</v>
      </c>
      <c r="E256" s="5">
        <v>206</v>
      </c>
      <c r="F256" s="5">
        <f>ROUND(Source!T235,O256)</f>
        <v>0</v>
      </c>
      <c r="G256" s="5" t="s">
        <v>111</v>
      </c>
      <c r="H256" s="5" t="s">
        <v>112</v>
      </c>
      <c r="I256" s="5"/>
      <c r="J256" s="5"/>
      <c r="K256" s="5">
        <v>206</v>
      </c>
      <c r="L256" s="5">
        <v>20</v>
      </c>
      <c r="M256" s="5">
        <v>3</v>
      </c>
      <c r="N256" s="5" t="s">
        <v>3</v>
      </c>
      <c r="O256" s="5">
        <v>2</v>
      </c>
      <c r="P256" s="5">
        <f>ROUND(Source!DL235,O256)</f>
        <v>0</v>
      </c>
      <c r="Q256" s="5"/>
      <c r="R256" s="5"/>
      <c r="S256" s="5"/>
      <c r="T256" s="5"/>
      <c r="U256" s="5"/>
      <c r="V256" s="5"/>
      <c r="W256" s="5"/>
    </row>
    <row r="257" spans="1:23" x14ac:dyDescent="0.2">
      <c r="A257" s="5">
        <v>50</v>
      </c>
      <c r="B257" s="5">
        <v>0</v>
      </c>
      <c r="C257" s="5">
        <v>0</v>
      </c>
      <c r="D257" s="5">
        <v>1</v>
      </c>
      <c r="E257" s="5">
        <v>207</v>
      </c>
      <c r="F257" s="5">
        <f>Source!U235</f>
        <v>375.46125959999995</v>
      </c>
      <c r="G257" s="5" t="s">
        <v>113</v>
      </c>
      <c r="H257" s="5" t="s">
        <v>114</v>
      </c>
      <c r="I257" s="5"/>
      <c r="J257" s="5"/>
      <c r="K257" s="5">
        <v>207</v>
      </c>
      <c r="L257" s="5">
        <v>21</v>
      </c>
      <c r="M257" s="5">
        <v>3</v>
      </c>
      <c r="N257" s="5" t="s">
        <v>3</v>
      </c>
      <c r="O257" s="5">
        <v>-1</v>
      </c>
      <c r="P257" s="5">
        <f>Source!DM235</f>
        <v>375.46125959999995</v>
      </c>
      <c r="Q257" s="5"/>
      <c r="R257" s="5"/>
      <c r="S257" s="5"/>
      <c r="T257" s="5"/>
      <c r="U257" s="5"/>
      <c r="V257" s="5"/>
      <c r="W257" s="5"/>
    </row>
    <row r="258" spans="1:23" x14ac:dyDescent="0.2">
      <c r="A258" s="5">
        <v>50</v>
      </c>
      <c r="B258" s="5">
        <v>0</v>
      </c>
      <c r="C258" s="5">
        <v>0</v>
      </c>
      <c r="D258" s="5">
        <v>1</v>
      </c>
      <c r="E258" s="5">
        <v>208</v>
      </c>
      <c r="F258" s="5">
        <f>Source!V235</f>
        <v>0</v>
      </c>
      <c r="G258" s="5" t="s">
        <v>115</v>
      </c>
      <c r="H258" s="5" t="s">
        <v>116</v>
      </c>
      <c r="I258" s="5"/>
      <c r="J258" s="5"/>
      <c r="K258" s="5">
        <v>208</v>
      </c>
      <c r="L258" s="5">
        <v>22</v>
      </c>
      <c r="M258" s="5">
        <v>3</v>
      </c>
      <c r="N258" s="5" t="s">
        <v>3</v>
      </c>
      <c r="O258" s="5">
        <v>-1</v>
      </c>
      <c r="P258" s="5">
        <f>Source!DN235</f>
        <v>0</v>
      </c>
      <c r="Q258" s="5"/>
      <c r="R258" s="5"/>
      <c r="S258" s="5"/>
      <c r="T258" s="5"/>
      <c r="U258" s="5"/>
      <c r="V258" s="5"/>
      <c r="W258" s="5"/>
    </row>
    <row r="259" spans="1:23" x14ac:dyDescent="0.2">
      <c r="A259" s="5">
        <v>50</v>
      </c>
      <c r="B259" s="5">
        <v>0</v>
      </c>
      <c r="C259" s="5">
        <v>0</v>
      </c>
      <c r="D259" s="5">
        <v>1</v>
      </c>
      <c r="E259" s="5">
        <v>209</v>
      </c>
      <c r="F259" s="5">
        <f>ROUND(Source!W235,O259)</f>
        <v>0</v>
      </c>
      <c r="G259" s="5" t="s">
        <v>117</v>
      </c>
      <c r="H259" s="5" t="s">
        <v>118</v>
      </c>
      <c r="I259" s="5"/>
      <c r="J259" s="5"/>
      <c r="K259" s="5">
        <v>209</v>
      </c>
      <c r="L259" s="5">
        <v>23</v>
      </c>
      <c r="M259" s="5">
        <v>3</v>
      </c>
      <c r="N259" s="5" t="s">
        <v>3</v>
      </c>
      <c r="O259" s="5">
        <v>2</v>
      </c>
      <c r="P259" s="5">
        <f>ROUND(Source!DO235,O259)</f>
        <v>0</v>
      </c>
      <c r="Q259" s="5"/>
      <c r="R259" s="5"/>
      <c r="S259" s="5"/>
      <c r="T259" s="5"/>
      <c r="U259" s="5"/>
      <c r="V259" s="5"/>
      <c r="W259" s="5"/>
    </row>
    <row r="260" spans="1:23" x14ac:dyDescent="0.2">
      <c r="A260" s="5">
        <v>50</v>
      </c>
      <c r="B260" s="5">
        <v>0</v>
      </c>
      <c r="C260" s="5">
        <v>0</v>
      </c>
      <c r="D260" s="5">
        <v>1</v>
      </c>
      <c r="E260" s="5">
        <v>233</v>
      </c>
      <c r="F260" s="5">
        <f>ROUND(Source!BD235,O260)</f>
        <v>0</v>
      </c>
      <c r="G260" s="5" t="s">
        <v>119</v>
      </c>
      <c r="H260" s="5" t="s">
        <v>120</v>
      </c>
      <c r="I260" s="5"/>
      <c r="J260" s="5"/>
      <c r="K260" s="5">
        <v>233</v>
      </c>
      <c r="L260" s="5">
        <v>24</v>
      </c>
      <c r="M260" s="5">
        <v>3</v>
      </c>
      <c r="N260" s="5" t="s">
        <v>3</v>
      </c>
      <c r="O260" s="5">
        <v>2</v>
      </c>
      <c r="P260" s="5">
        <f>ROUND(Source!EV235,O260)</f>
        <v>0</v>
      </c>
      <c r="Q260" s="5"/>
      <c r="R260" s="5"/>
      <c r="S260" s="5"/>
      <c r="T260" s="5"/>
      <c r="U260" s="5"/>
      <c r="V260" s="5"/>
      <c r="W260" s="5"/>
    </row>
    <row r="261" spans="1:23" x14ac:dyDescent="0.2">
      <c r="A261" s="5">
        <v>50</v>
      </c>
      <c r="B261" s="5">
        <v>0</v>
      </c>
      <c r="C261" s="5">
        <v>0</v>
      </c>
      <c r="D261" s="5">
        <v>1</v>
      </c>
      <c r="E261" s="5">
        <v>210</v>
      </c>
      <c r="F261" s="5">
        <f>ROUND(Source!X235,O261)</f>
        <v>5749.91</v>
      </c>
      <c r="G261" s="5" t="s">
        <v>121</v>
      </c>
      <c r="H261" s="5" t="s">
        <v>122</v>
      </c>
      <c r="I261" s="5"/>
      <c r="J261" s="5"/>
      <c r="K261" s="5">
        <v>210</v>
      </c>
      <c r="L261" s="5">
        <v>25</v>
      </c>
      <c r="M261" s="5">
        <v>3</v>
      </c>
      <c r="N261" s="5" t="s">
        <v>3</v>
      </c>
      <c r="O261" s="5">
        <v>2</v>
      </c>
      <c r="P261" s="5">
        <f>ROUND(Source!DP235,O261)</f>
        <v>108387.81</v>
      </c>
      <c r="Q261" s="5"/>
      <c r="R261" s="5"/>
      <c r="S261" s="5"/>
      <c r="T261" s="5"/>
      <c r="U261" s="5"/>
      <c r="V261" s="5"/>
      <c r="W261" s="5"/>
    </row>
    <row r="262" spans="1:23" x14ac:dyDescent="0.2">
      <c r="A262" s="5">
        <v>50</v>
      </c>
      <c r="B262" s="5">
        <v>0</v>
      </c>
      <c r="C262" s="5">
        <v>0</v>
      </c>
      <c r="D262" s="5">
        <v>1</v>
      </c>
      <c r="E262" s="5">
        <v>211</v>
      </c>
      <c r="F262" s="5">
        <f>ROUND(Source!Y235,O262)</f>
        <v>3602.9</v>
      </c>
      <c r="G262" s="5" t="s">
        <v>123</v>
      </c>
      <c r="H262" s="5" t="s">
        <v>124</v>
      </c>
      <c r="I262" s="5"/>
      <c r="J262" s="5"/>
      <c r="K262" s="5">
        <v>211</v>
      </c>
      <c r="L262" s="5">
        <v>26</v>
      </c>
      <c r="M262" s="5">
        <v>3</v>
      </c>
      <c r="N262" s="5" t="s">
        <v>3</v>
      </c>
      <c r="O262" s="5">
        <v>2</v>
      </c>
      <c r="P262" s="5">
        <f>ROUND(Source!DQ235,O262)</f>
        <v>48349.14</v>
      </c>
      <c r="Q262" s="5"/>
      <c r="R262" s="5"/>
      <c r="S262" s="5"/>
      <c r="T262" s="5"/>
      <c r="U262" s="5"/>
      <c r="V262" s="5"/>
      <c r="W262" s="5"/>
    </row>
    <row r="263" spans="1:23" x14ac:dyDescent="0.2">
      <c r="A263" s="5">
        <v>50</v>
      </c>
      <c r="B263" s="5">
        <v>0</v>
      </c>
      <c r="C263" s="5">
        <v>0</v>
      </c>
      <c r="D263" s="5">
        <v>1</v>
      </c>
      <c r="E263" s="5">
        <v>0</v>
      </c>
      <c r="F263" s="5">
        <f>ROUND(Source!AR235,O263)</f>
        <v>306129.7</v>
      </c>
      <c r="G263" s="5" t="s">
        <v>125</v>
      </c>
      <c r="H263" s="5" t="s">
        <v>126</v>
      </c>
      <c r="I263" s="5"/>
      <c r="J263" s="5"/>
      <c r="K263" s="5">
        <v>224</v>
      </c>
      <c r="L263" s="5">
        <v>27</v>
      </c>
      <c r="M263" s="5">
        <v>3</v>
      </c>
      <c r="N263" s="5" t="s">
        <v>3</v>
      </c>
      <c r="O263" s="5">
        <v>2</v>
      </c>
      <c r="P263" s="5">
        <f>ROUND(Source!EJ235,O263)</f>
        <v>1098343.53</v>
      </c>
      <c r="Q263" s="5"/>
      <c r="R263" s="5"/>
      <c r="S263" s="5"/>
      <c r="T263" s="5"/>
      <c r="U263" s="5"/>
      <c r="V263" s="5"/>
      <c r="W263" s="5"/>
    </row>
    <row r="264" spans="1:23" x14ac:dyDescent="0.2">
      <c r="A264" s="5">
        <v>50</v>
      </c>
      <c r="B264" s="5">
        <v>1</v>
      </c>
      <c r="C264" s="5">
        <v>0</v>
      </c>
      <c r="D264" s="5">
        <v>2</v>
      </c>
      <c r="E264" s="5">
        <v>0</v>
      </c>
      <c r="F264" s="5">
        <f>ROUND(F263*0.2,O264)</f>
        <v>61225.94</v>
      </c>
      <c r="G264" s="5" t="s">
        <v>251</v>
      </c>
      <c r="H264" s="5" t="s">
        <v>252</v>
      </c>
      <c r="I264" s="5"/>
      <c r="J264" s="5"/>
      <c r="K264" s="5">
        <v>212</v>
      </c>
      <c r="L264" s="5">
        <v>28</v>
      </c>
      <c r="M264" s="5">
        <v>0</v>
      </c>
      <c r="N264" s="5" t="s">
        <v>3</v>
      </c>
      <c r="O264" s="5">
        <v>2</v>
      </c>
      <c r="P264" s="5">
        <f>ROUND(P263*0.2,O264)</f>
        <v>219668.71</v>
      </c>
      <c r="Q264" s="5"/>
      <c r="R264" s="5"/>
      <c r="S264" s="5"/>
      <c r="T264" s="5"/>
      <c r="U264" s="5"/>
      <c r="V264" s="5"/>
      <c r="W264" s="5"/>
    </row>
    <row r="265" spans="1:23" x14ac:dyDescent="0.2">
      <c r="A265" s="5">
        <v>50</v>
      </c>
      <c r="B265" s="5">
        <v>1</v>
      </c>
      <c r="C265" s="5">
        <v>0</v>
      </c>
      <c r="D265" s="5">
        <v>2</v>
      </c>
      <c r="E265" s="5">
        <v>224</v>
      </c>
      <c r="F265" s="5">
        <f>ROUND(F263+F264,O265)</f>
        <v>367355.64</v>
      </c>
      <c r="G265" s="5" t="s">
        <v>253</v>
      </c>
      <c r="H265" s="5" t="s">
        <v>254</v>
      </c>
      <c r="I265" s="5"/>
      <c r="J265" s="5"/>
      <c r="K265" s="5">
        <v>212</v>
      </c>
      <c r="L265" s="5">
        <v>29</v>
      </c>
      <c r="M265" s="5">
        <v>0</v>
      </c>
      <c r="N265" s="5" t="s">
        <v>3</v>
      </c>
      <c r="O265" s="5">
        <v>2</v>
      </c>
      <c r="P265" s="5">
        <f>ROUND(P263+P264,O265)</f>
        <v>1318012.24</v>
      </c>
      <c r="Q265" s="5"/>
      <c r="R265" s="5"/>
      <c r="S265" s="5"/>
      <c r="T265" s="5"/>
      <c r="U265" s="5"/>
      <c r="V265" s="5"/>
      <c r="W265" s="5"/>
    </row>
    <row r="267" spans="1:23" x14ac:dyDescent="0.2">
      <c r="A267" s="6">
        <v>61</v>
      </c>
      <c r="B267" s="6"/>
      <c r="C267" s="6"/>
      <c r="D267" s="6"/>
      <c r="E267" s="6"/>
      <c r="F267" s="6">
        <v>600</v>
      </c>
      <c r="G267" s="6" t="s">
        <v>15</v>
      </c>
      <c r="H267" s="6" t="s">
        <v>255</v>
      </c>
    </row>
    <row r="270" spans="1:23" x14ac:dyDescent="0.2">
      <c r="A270">
        <v>-1</v>
      </c>
    </row>
    <row r="272" spans="1:23" x14ac:dyDescent="0.2">
      <c r="A272" s="4">
        <v>75</v>
      </c>
      <c r="B272" s="4" t="s">
        <v>256</v>
      </c>
      <c r="C272" s="4">
        <v>2000</v>
      </c>
      <c r="D272" s="4">
        <v>0</v>
      </c>
      <c r="E272" s="4">
        <v>1</v>
      </c>
      <c r="F272" s="4"/>
      <c r="G272" s="4">
        <v>0</v>
      </c>
      <c r="H272" s="4">
        <v>1</v>
      </c>
      <c r="I272" s="4">
        <v>0</v>
      </c>
      <c r="J272" s="4">
        <v>1</v>
      </c>
      <c r="K272" s="4">
        <v>98</v>
      </c>
      <c r="L272" s="4">
        <v>77</v>
      </c>
      <c r="M272" s="4">
        <v>0</v>
      </c>
      <c r="N272" s="4">
        <v>45748053</v>
      </c>
      <c r="O272" s="4">
        <v>1</v>
      </c>
    </row>
    <row r="273" spans="1:27" x14ac:dyDescent="0.2">
      <c r="A273" s="4">
        <v>75</v>
      </c>
      <c r="B273" s="4" t="s">
        <v>257</v>
      </c>
      <c r="C273" s="4">
        <v>2021</v>
      </c>
      <c r="D273" s="4">
        <v>0</v>
      </c>
      <c r="E273" s="4">
        <v>4</v>
      </c>
      <c r="F273" s="4"/>
      <c r="G273" s="4">
        <v>0</v>
      </c>
      <c r="H273" s="4">
        <v>2</v>
      </c>
      <c r="I273" s="4">
        <v>1</v>
      </c>
      <c r="J273" s="4">
        <v>1</v>
      </c>
      <c r="K273" s="4">
        <v>93</v>
      </c>
      <c r="L273" s="4">
        <v>64</v>
      </c>
      <c r="M273" s="4">
        <v>1</v>
      </c>
      <c r="N273" s="4">
        <v>45747932</v>
      </c>
      <c r="O273" s="4">
        <v>2</v>
      </c>
    </row>
    <row r="274" spans="1:27" x14ac:dyDescent="0.2">
      <c r="A274" s="7">
        <v>1</v>
      </c>
      <c r="B274" s="7" t="s">
        <v>258</v>
      </c>
      <c r="C274" s="7" t="s">
        <v>259</v>
      </c>
      <c r="D274" s="7">
        <v>2021</v>
      </c>
      <c r="E274" s="7">
        <v>4</v>
      </c>
      <c r="F274" s="7">
        <v>1</v>
      </c>
      <c r="G274" s="7">
        <v>1</v>
      </c>
      <c r="H274" s="7">
        <v>0</v>
      </c>
      <c r="I274" s="7">
        <v>2</v>
      </c>
      <c r="J274" s="7">
        <v>1</v>
      </c>
      <c r="K274" s="7">
        <v>5.98</v>
      </c>
      <c r="L274" s="7">
        <v>4.7699999999999996</v>
      </c>
      <c r="M274" s="7">
        <v>1</v>
      </c>
      <c r="N274" s="7">
        <v>1</v>
      </c>
      <c r="O274" s="7">
        <v>5.98</v>
      </c>
      <c r="P274" s="7">
        <v>4.7699999999999996</v>
      </c>
      <c r="Q274" s="7">
        <v>1</v>
      </c>
      <c r="R274" s="7" t="s">
        <v>3</v>
      </c>
      <c r="S274" s="7" t="s">
        <v>3</v>
      </c>
      <c r="T274" s="7" t="s">
        <v>3</v>
      </c>
      <c r="U274" s="7" t="s">
        <v>3</v>
      </c>
      <c r="V274" s="7" t="s">
        <v>3</v>
      </c>
      <c r="W274" s="7" t="s">
        <v>3</v>
      </c>
      <c r="X274" s="7" t="s">
        <v>3</v>
      </c>
      <c r="Y274" s="7" t="s">
        <v>3</v>
      </c>
      <c r="Z274" s="7" t="s">
        <v>3</v>
      </c>
      <c r="AA274" s="7" t="s">
        <v>260</v>
      </c>
    </row>
    <row r="275" spans="1:27" x14ac:dyDescent="0.2">
      <c r="A275" s="7">
        <v>1</v>
      </c>
      <c r="B275" s="7" t="s">
        <v>258</v>
      </c>
      <c r="C275" s="7" t="s">
        <v>261</v>
      </c>
      <c r="D275" s="7">
        <v>2021</v>
      </c>
      <c r="E275" s="7">
        <v>3</v>
      </c>
      <c r="F275" s="7">
        <v>1</v>
      </c>
      <c r="G275" s="7">
        <v>1</v>
      </c>
      <c r="H275" s="7">
        <v>0</v>
      </c>
      <c r="I275" s="7">
        <v>2</v>
      </c>
      <c r="J275" s="7">
        <v>1</v>
      </c>
      <c r="K275" s="7">
        <v>1</v>
      </c>
      <c r="L275" s="7">
        <v>1</v>
      </c>
      <c r="M275" s="7">
        <v>1</v>
      </c>
      <c r="N275" s="7">
        <v>1</v>
      </c>
      <c r="O275" s="7">
        <v>1</v>
      </c>
      <c r="P275" s="7">
        <v>1</v>
      </c>
      <c r="Q275" s="7">
        <v>1</v>
      </c>
      <c r="R275" s="7" t="s">
        <v>3</v>
      </c>
      <c r="S275" s="7" t="s">
        <v>3</v>
      </c>
      <c r="T275" s="7" t="s">
        <v>3</v>
      </c>
      <c r="U275" s="7" t="s">
        <v>3</v>
      </c>
      <c r="V275" s="7" t="s">
        <v>3</v>
      </c>
      <c r="W275" s="7" t="s">
        <v>3</v>
      </c>
      <c r="X275" s="7" t="s">
        <v>3</v>
      </c>
      <c r="Y275" s="7" t="s">
        <v>3</v>
      </c>
      <c r="Z275" s="7" t="s">
        <v>3</v>
      </c>
      <c r="AA275" s="7" t="s">
        <v>3</v>
      </c>
    </row>
    <row r="279" spans="1:27" x14ac:dyDescent="0.2">
      <c r="A279">
        <v>65</v>
      </c>
      <c r="C279">
        <v>1</v>
      </c>
      <c r="D279">
        <v>0</v>
      </c>
      <c r="E279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C56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262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0</v>
      </c>
      <c r="L1">
        <v>12798</v>
      </c>
      <c r="M1">
        <v>10</v>
      </c>
      <c r="N1">
        <v>11</v>
      </c>
      <c r="O1">
        <v>2</v>
      </c>
      <c r="P1">
        <v>0</v>
      </c>
      <c r="Q1">
        <v>0</v>
      </c>
    </row>
    <row r="12" spans="1:133" x14ac:dyDescent="0.2">
      <c r="A12" s="1">
        <v>1</v>
      </c>
      <c r="B12" s="1">
        <v>53</v>
      </c>
      <c r="C12" s="1">
        <v>0</v>
      </c>
      <c r="D12" s="1"/>
      <c r="E12" s="1">
        <v>0</v>
      </c>
      <c r="F12" s="1" t="s">
        <v>4</v>
      </c>
      <c r="G12" s="1" t="s">
        <v>5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0</v>
      </c>
      <c r="R12" s="1">
        <v>175</v>
      </c>
      <c r="S12" s="1">
        <v>157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6</v>
      </c>
      <c r="BI12" s="1" t="s">
        <v>7</v>
      </c>
      <c r="BJ12" s="1">
        <v>1</v>
      </c>
      <c r="BK12" s="1">
        <v>1</v>
      </c>
      <c r="BL12" s="1">
        <v>0</v>
      </c>
      <c r="BM12" s="1">
        <v>0</v>
      </c>
      <c r="BN12" s="1">
        <v>1</v>
      </c>
      <c r="BO12" s="1">
        <v>0</v>
      </c>
      <c r="BP12" s="1">
        <v>6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8</v>
      </c>
      <c r="BZ12" s="1" t="s">
        <v>9</v>
      </c>
      <c r="CA12" s="1" t="s">
        <v>10</v>
      </c>
      <c r="CB12" s="1" t="s">
        <v>10</v>
      </c>
      <c r="CC12" s="1" t="s">
        <v>10</v>
      </c>
      <c r="CD12" s="1" t="s">
        <v>10</v>
      </c>
      <c r="CE12" s="1" t="s">
        <v>11</v>
      </c>
      <c r="CF12" s="1">
        <v>0</v>
      </c>
      <c r="CG12" s="1">
        <v>0</v>
      </c>
      <c r="CH12" s="1">
        <v>16777224</v>
      </c>
      <c r="CI12" s="1" t="s">
        <v>3</v>
      </c>
      <c r="CJ12" s="1" t="s">
        <v>3</v>
      </c>
      <c r="CK12" s="1">
        <v>59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45748053</v>
      </c>
      <c r="E14" s="1">
        <v>45747932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8">
        <v>3</v>
      </c>
      <c r="B16" s="8">
        <v>1</v>
      </c>
      <c r="C16" s="8" t="s">
        <v>12</v>
      </c>
      <c r="D16" s="8" t="s">
        <v>12</v>
      </c>
      <c r="E16" s="9">
        <f>(Source!F220)/1000</f>
        <v>298.67796000000004</v>
      </c>
      <c r="F16" s="9">
        <f>(Source!F221)/1000</f>
        <v>0</v>
      </c>
      <c r="G16" s="9">
        <f>(Source!F212)/1000</f>
        <v>0</v>
      </c>
      <c r="H16" s="9">
        <f>(Source!F222)/1000+(Source!F223)/1000</f>
        <v>7.45174</v>
      </c>
      <c r="I16" s="9">
        <f>E16+F16+G16+H16</f>
        <v>306.12970000000001</v>
      </c>
      <c r="J16" s="9">
        <f>(Source!F218)/1000</f>
        <v>4.2362099999999998</v>
      </c>
      <c r="T16" s="10">
        <f>(Source!P220)/1000</f>
        <v>1026.1988799999999</v>
      </c>
      <c r="U16" s="10">
        <f>(Source!P221)/1000</f>
        <v>0</v>
      </c>
      <c r="V16" s="10">
        <f>(Source!P212)/1000</f>
        <v>0</v>
      </c>
      <c r="W16" s="10">
        <f>(Source!P222)/1000+(Source!P223)/1000</f>
        <v>72.144649999999999</v>
      </c>
      <c r="X16" s="10">
        <f>T16+U16+V16+W16</f>
        <v>1098.3435299999999</v>
      </c>
      <c r="Y16" s="10">
        <f>(Source!P218)/1000</f>
        <v>106.45596</v>
      </c>
      <c r="AI16" s="8">
        <v>0</v>
      </c>
      <c r="AJ16" s="8">
        <v>0</v>
      </c>
      <c r="AK16" s="8" t="s">
        <v>3</v>
      </c>
      <c r="AL16" s="8" t="s">
        <v>3</v>
      </c>
      <c r="AM16" s="8" t="s">
        <v>3</v>
      </c>
      <c r="AN16" s="8">
        <v>0</v>
      </c>
      <c r="AO16" s="8" t="s">
        <v>3</v>
      </c>
      <c r="AP16" s="8" t="s">
        <v>3</v>
      </c>
      <c r="AT16" s="9">
        <v>296322.8</v>
      </c>
      <c r="AU16" s="9">
        <v>283066.15000000002</v>
      </c>
      <c r="AV16" s="9">
        <v>0</v>
      </c>
      <c r="AW16" s="9">
        <v>0</v>
      </c>
      <c r="AX16" s="9">
        <v>0</v>
      </c>
      <c r="AY16" s="9">
        <v>9020.44</v>
      </c>
      <c r="AZ16" s="9">
        <v>259.47000000000003</v>
      </c>
      <c r="BA16" s="9">
        <v>4236.21</v>
      </c>
      <c r="BB16" s="9">
        <v>298677.96000000002</v>
      </c>
      <c r="BC16" s="9">
        <v>0</v>
      </c>
      <c r="BD16" s="9">
        <v>7451.74</v>
      </c>
      <c r="BE16" s="9">
        <v>0</v>
      </c>
      <c r="BF16" s="9">
        <v>375.46125959999995</v>
      </c>
      <c r="BG16" s="9">
        <v>0</v>
      </c>
      <c r="BH16" s="9">
        <v>0</v>
      </c>
      <c r="BI16" s="9">
        <v>5749.91</v>
      </c>
      <c r="BJ16" s="9">
        <v>3602.9</v>
      </c>
      <c r="BK16" s="9">
        <v>367355.64</v>
      </c>
      <c r="BR16" s="10">
        <v>931373.79</v>
      </c>
      <c r="BS16" s="10">
        <v>737851.9</v>
      </c>
      <c r="BT16" s="10">
        <v>0</v>
      </c>
      <c r="BU16" s="10">
        <v>0</v>
      </c>
      <c r="BV16" s="10">
        <v>0</v>
      </c>
      <c r="BW16" s="10">
        <v>87065.93</v>
      </c>
      <c r="BX16" s="10">
        <v>6517.71</v>
      </c>
      <c r="BY16" s="10">
        <v>106455.96</v>
      </c>
      <c r="BZ16" s="10">
        <v>1026198.88</v>
      </c>
      <c r="CA16" s="10">
        <v>0</v>
      </c>
      <c r="CB16" s="10">
        <v>72144.649999999994</v>
      </c>
      <c r="CC16" s="10">
        <v>0</v>
      </c>
      <c r="CD16" s="10">
        <v>375.46125959999995</v>
      </c>
      <c r="CE16" s="10">
        <v>0</v>
      </c>
      <c r="CF16" s="10">
        <v>0</v>
      </c>
      <c r="CG16" s="10">
        <v>108387.81</v>
      </c>
      <c r="CH16" s="10">
        <v>48349.14</v>
      </c>
      <c r="CI16" s="10">
        <v>1318012.24</v>
      </c>
    </row>
    <row r="18" spans="1:40" x14ac:dyDescent="0.2">
      <c r="A18">
        <v>51</v>
      </c>
      <c r="E18" s="6">
        <f>SUMIF(A16:A17,3,E16:E17)</f>
        <v>298.67796000000004</v>
      </c>
      <c r="F18" s="6">
        <f>SUMIF(A16:A17,3,F16:F17)</f>
        <v>0</v>
      </c>
      <c r="G18" s="6">
        <f>SUMIF(A16:A17,3,G16:G17)</f>
        <v>0</v>
      </c>
      <c r="H18" s="6">
        <f>SUMIF(A16:A17,3,H16:H17)</f>
        <v>7.45174</v>
      </c>
      <c r="I18" s="6">
        <f>SUMIF(A16:A17,3,I16:I17)</f>
        <v>306.12970000000001</v>
      </c>
      <c r="J18" s="6">
        <f>SUMIF(A16:A17,3,J16:J17)</f>
        <v>4.2362099999999998</v>
      </c>
      <c r="K18" s="6"/>
      <c r="L18" s="6"/>
      <c r="M18" s="6"/>
      <c r="N18" s="6"/>
      <c r="O18" s="6"/>
      <c r="P18" s="6"/>
      <c r="Q18" s="6"/>
      <c r="R18" s="6"/>
      <c r="S18" s="6"/>
      <c r="T18" s="3">
        <f>SUMIF(A16:A17,3,T16:T17)</f>
        <v>1026.1988799999999</v>
      </c>
      <c r="U18" s="3">
        <f>SUMIF(A16:A17,3,U16:U17)</f>
        <v>0</v>
      </c>
      <c r="V18" s="3">
        <f>SUMIF(A16:A17,3,V16:V17)</f>
        <v>0</v>
      </c>
      <c r="W18" s="3">
        <f>SUMIF(A16:A17,3,W16:W17)</f>
        <v>72.144649999999999</v>
      </c>
      <c r="X18" s="3">
        <f>SUMIF(A16:A17,3,X16:X17)</f>
        <v>1098.3435299999999</v>
      </c>
      <c r="Y18" s="3">
        <f>SUMIF(A16:A17,3,Y16:Y17)</f>
        <v>106.45596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20" spans="1:40" x14ac:dyDescent="0.2">
      <c r="A20" s="5">
        <v>50</v>
      </c>
      <c r="B20" s="5">
        <v>0</v>
      </c>
      <c r="C20" s="5">
        <v>0</v>
      </c>
      <c r="D20" s="5">
        <v>1</v>
      </c>
      <c r="E20" s="5">
        <v>201</v>
      </c>
      <c r="F20" s="5">
        <v>296322.8</v>
      </c>
      <c r="G20" s="5" t="s">
        <v>73</v>
      </c>
      <c r="H20" s="5" t="s">
        <v>74</v>
      </c>
      <c r="I20" s="5"/>
      <c r="J20" s="5"/>
      <c r="K20" s="5">
        <v>201</v>
      </c>
      <c r="L20" s="5">
        <v>1</v>
      </c>
      <c r="M20" s="5">
        <v>3</v>
      </c>
      <c r="N20" s="5" t="s">
        <v>3</v>
      </c>
      <c r="O20" s="5">
        <v>2</v>
      </c>
      <c r="P20" s="5">
        <v>931373.79</v>
      </c>
    </row>
    <row r="21" spans="1:40" x14ac:dyDescent="0.2">
      <c r="A21" s="5">
        <v>50</v>
      </c>
      <c r="B21" s="5">
        <v>0</v>
      </c>
      <c r="C21" s="5">
        <v>0</v>
      </c>
      <c r="D21" s="5">
        <v>1</v>
      </c>
      <c r="E21" s="5">
        <v>202</v>
      </c>
      <c r="F21" s="5">
        <v>283066.15000000002</v>
      </c>
      <c r="G21" s="5" t="s">
        <v>75</v>
      </c>
      <c r="H21" s="5" t="s">
        <v>76</v>
      </c>
      <c r="I21" s="5"/>
      <c r="J21" s="5"/>
      <c r="K21" s="5">
        <v>202</v>
      </c>
      <c r="L21" s="5">
        <v>2</v>
      </c>
      <c r="M21" s="5">
        <v>3</v>
      </c>
      <c r="N21" s="5" t="s">
        <v>3</v>
      </c>
      <c r="O21" s="5">
        <v>2</v>
      </c>
      <c r="P21" s="5">
        <v>737851.9</v>
      </c>
    </row>
    <row r="22" spans="1:40" x14ac:dyDescent="0.2">
      <c r="A22" s="5">
        <v>50</v>
      </c>
      <c r="B22" s="5">
        <v>0</v>
      </c>
      <c r="C22" s="5">
        <v>0</v>
      </c>
      <c r="D22" s="5">
        <v>1</v>
      </c>
      <c r="E22" s="5">
        <v>222</v>
      </c>
      <c r="F22" s="5">
        <v>0</v>
      </c>
      <c r="G22" s="5" t="s">
        <v>77</v>
      </c>
      <c r="H22" s="5" t="s">
        <v>78</v>
      </c>
      <c r="I22" s="5"/>
      <c r="J22" s="5"/>
      <c r="K22" s="5">
        <v>222</v>
      </c>
      <c r="L22" s="5">
        <v>3</v>
      </c>
      <c r="M22" s="5">
        <v>3</v>
      </c>
      <c r="N22" s="5" t="s">
        <v>3</v>
      </c>
      <c r="O22" s="5">
        <v>2</v>
      </c>
      <c r="P22" s="5">
        <v>0</v>
      </c>
    </row>
    <row r="23" spans="1:40" x14ac:dyDescent="0.2">
      <c r="A23" s="5">
        <v>50</v>
      </c>
      <c r="B23" s="5">
        <v>0</v>
      </c>
      <c r="C23" s="5">
        <v>0</v>
      </c>
      <c r="D23" s="5">
        <v>1</v>
      </c>
      <c r="E23" s="5">
        <v>225</v>
      </c>
      <c r="F23" s="5">
        <v>283066.15000000002</v>
      </c>
      <c r="G23" s="5" t="s">
        <v>79</v>
      </c>
      <c r="H23" s="5" t="s">
        <v>80</v>
      </c>
      <c r="I23" s="5"/>
      <c r="J23" s="5"/>
      <c r="K23" s="5">
        <v>225</v>
      </c>
      <c r="L23" s="5">
        <v>4</v>
      </c>
      <c r="M23" s="5">
        <v>3</v>
      </c>
      <c r="N23" s="5" t="s">
        <v>3</v>
      </c>
      <c r="O23" s="5">
        <v>2</v>
      </c>
      <c r="P23" s="5">
        <v>737851.9</v>
      </c>
    </row>
    <row r="24" spans="1:40" x14ac:dyDescent="0.2">
      <c r="A24" s="5">
        <v>50</v>
      </c>
      <c r="B24" s="5">
        <v>0</v>
      </c>
      <c r="C24" s="5">
        <v>0</v>
      </c>
      <c r="D24" s="5">
        <v>1</v>
      </c>
      <c r="E24" s="5">
        <v>226</v>
      </c>
      <c r="F24" s="5">
        <v>283066.15000000002</v>
      </c>
      <c r="G24" s="5" t="s">
        <v>81</v>
      </c>
      <c r="H24" s="5" t="s">
        <v>82</v>
      </c>
      <c r="I24" s="5"/>
      <c r="J24" s="5"/>
      <c r="K24" s="5">
        <v>226</v>
      </c>
      <c r="L24" s="5">
        <v>5</v>
      </c>
      <c r="M24" s="5">
        <v>3</v>
      </c>
      <c r="N24" s="5" t="s">
        <v>3</v>
      </c>
      <c r="O24" s="5">
        <v>2</v>
      </c>
      <c r="P24" s="5">
        <v>737851.9</v>
      </c>
    </row>
    <row r="25" spans="1:40" x14ac:dyDescent="0.2">
      <c r="A25" s="5">
        <v>50</v>
      </c>
      <c r="B25" s="5">
        <v>0</v>
      </c>
      <c r="C25" s="5">
        <v>0</v>
      </c>
      <c r="D25" s="5">
        <v>1</v>
      </c>
      <c r="E25" s="5">
        <v>227</v>
      </c>
      <c r="F25" s="5">
        <v>0</v>
      </c>
      <c r="G25" s="5" t="s">
        <v>83</v>
      </c>
      <c r="H25" s="5" t="s">
        <v>84</v>
      </c>
      <c r="I25" s="5"/>
      <c r="J25" s="5"/>
      <c r="K25" s="5">
        <v>227</v>
      </c>
      <c r="L25" s="5">
        <v>6</v>
      </c>
      <c r="M25" s="5">
        <v>3</v>
      </c>
      <c r="N25" s="5" t="s">
        <v>3</v>
      </c>
      <c r="O25" s="5">
        <v>2</v>
      </c>
      <c r="P25" s="5">
        <v>0</v>
      </c>
    </row>
    <row r="26" spans="1:40" x14ac:dyDescent="0.2">
      <c r="A26" s="5">
        <v>50</v>
      </c>
      <c r="B26" s="5">
        <v>0</v>
      </c>
      <c r="C26" s="5">
        <v>0</v>
      </c>
      <c r="D26" s="5">
        <v>1</v>
      </c>
      <c r="E26" s="5">
        <v>228</v>
      </c>
      <c r="F26" s="5">
        <v>283066.15000000002</v>
      </c>
      <c r="G26" s="5" t="s">
        <v>85</v>
      </c>
      <c r="H26" s="5" t="s">
        <v>86</v>
      </c>
      <c r="I26" s="5"/>
      <c r="J26" s="5"/>
      <c r="K26" s="5">
        <v>228</v>
      </c>
      <c r="L26" s="5">
        <v>7</v>
      </c>
      <c r="M26" s="5">
        <v>3</v>
      </c>
      <c r="N26" s="5" t="s">
        <v>3</v>
      </c>
      <c r="O26" s="5">
        <v>2</v>
      </c>
      <c r="P26" s="5">
        <v>737851.9</v>
      </c>
    </row>
    <row r="27" spans="1:40" x14ac:dyDescent="0.2">
      <c r="A27" s="5">
        <v>50</v>
      </c>
      <c r="B27" s="5">
        <v>0</v>
      </c>
      <c r="C27" s="5">
        <v>0</v>
      </c>
      <c r="D27" s="5">
        <v>1</v>
      </c>
      <c r="E27" s="5">
        <v>216</v>
      </c>
      <c r="F27" s="5">
        <v>0</v>
      </c>
      <c r="G27" s="5" t="s">
        <v>87</v>
      </c>
      <c r="H27" s="5" t="s">
        <v>88</v>
      </c>
      <c r="I27" s="5"/>
      <c r="J27" s="5"/>
      <c r="K27" s="5">
        <v>216</v>
      </c>
      <c r="L27" s="5">
        <v>8</v>
      </c>
      <c r="M27" s="5">
        <v>3</v>
      </c>
      <c r="N27" s="5" t="s">
        <v>3</v>
      </c>
      <c r="O27" s="5">
        <v>2</v>
      </c>
      <c r="P27" s="5">
        <v>0</v>
      </c>
    </row>
    <row r="28" spans="1:40" x14ac:dyDescent="0.2">
      <c r="A28" s="5">
        <v>50</v>
      </c>
      <c r="B28" s="5">
        <v>0</v>
      </c>
      <c r="C28" s="5">
        <v>0</v>
      </c>
      <c r="D28" s="5">
        <v>1</v>
      </c>
      <c r="E28" s="5">
        <v>223</v>
      </c>
      <c r="F28" s="5">
        <v>0</v>
      </c>
      <c r="G28" s="5" t="s">
        <v>89</v>
      </c>
      <c r="H28" s="5" t="s">
        <v>90</v>
      </c>
      <c r="I28" s="5"/>
      <c r="J28" s="5"/>
      <c r="K28" s="5">
        <v>223</v>
      </c>
      <c r="L28" s="5">
        <v>9</v>
      </c>
      <c r="M28" s="5">
        <v>3</v>
      </c>
      <c r="N28" s="5" t="s">
        <v>3</v>
      </c>
      <c r="O28" s="5">
        <v>2</v>
      </c>
      <c r="P28" s="5">
        <v>0</v>
      </c>
    </row>
    <row r="29" spans="1:40" x14ac:dyDescent="0.2">
      <c r="A29" s="5">
        <v>50</v>
      </c>
      <c r="B29" s="5">
        <v>0</v>
      </c>
      <c r="C29" s="5">
        <v>0</v>
      </c>
      <c r="D29" s="5">
        <v>1</v>
      </c>
      <c r="E29" s="5">
        <v>229</v>
      </c>
      <c r="F29" s="5">
        <v>0</v>
      </c>
      <c r="G29" s="5" t="s">
        <v>91</v>
      </c>
      <c r="H29" s="5" t="s">
        <v>92</v>
      </c>
      <c r="I29" s="5"/>
      <c r="J29" s="5"/>
      <c r="K29" s="5">
        <v>229</v>
      </c>
      <c r="L29" s="5">
        <v>10</v>
      </c>
      <c r="M29" s="5">
        <v>3</v>
      </c>
      <c r="N29" s="5" t="s">
        <v>3</v>
      </c>
      <c r="O29" s="5">
        <v>2</v>
      </c>
      <c r="P29" s="5">
        <v>0</v>
      </c>
    </row>
    <row r="30" spans="1:40" x14ac:dyDescent="0.2">
      <c r="A30" s="5">
        <v>50</v>
      </c>
      <c r="B30" s="5">
        <v>0</v>
      </c>
      <c r="C30" s="5">
        <v>0</v>
      </c>
      <c r="D30" s="5">
        <v>1</v>
      </c>
      <c r="E30" s="5">
        <v>203</v>
      </c>
      <c r="F30" s="5">
        <v>9020.44</v>
      </c>
      <c r="G30" s="5" t="s">
        <v>93</v>
      </c>
      <c r="H30" s="5" t="s">
        <v>94</v>
      </c>
      <c r="I30" s="5"/>
      <c r="J30" s="5"/>
      <c r="K30" s="5">
        <v>203</v>
      </c>
      <c r="L30" s="5">
        <v>11</v>
      </c>
      <c r="M30" s="5">
        <v>3</v>
      </c>
      <c r="N30" s="5" t="s">
        <v>3</v>
      </c>
      <c r="O30" s="5">
        <v>2</v>
      </c>
      <c r="P30" s="5">
        <v>87065.93</v>
      </c>
    </row>
    <row r="31" spans="1:40" x14ac:dyDescent="0.2">
      <c r="A31" s="5">
        <v>50</v>
      </c>
      <c r="B31" s="5">
        <v>0</v>
      </c>
      <c r="C31" s="5">
        <v>0</v>
      </c>
      <c r="D31" s="5">
        <v>1</v>
      </c>
      <c r="E31" s="5">
        <v>231</v>
      </c>
      <c r="F31" s="5">
        <v>0</v>
      </c>
      <c r="G31" s="5" t="s">
        <v>95</v>
      </c>
      <c r="H31" s="5" t="s">
        <v>96</v>
      </c>
      <c r="I31" s="5"/>
      <c r="J31" s="5"/>
      <c r="K31" s="5">
        <v>231</v>
      </c>
      <c r="L31" s="5">
        <v>12</v>
      </c>
      <c r="M31" s="5">
        <v>3</v>
      </c>
      <c r="N31" s="5" t="s">
        <v>3</v>
      </c>
      <c r="O31" s="5">
        <v>2</v>
      </c>
      <c r="P31" s="5">
        <v>0</v>
      </c>
    </row>
    <row r="32" spans="1:40" x14ac:dyDescent="0.2">
      <c r="A32" s="5">
        <v>50</v>
      </c>
      <c r="B32" s="5">
        <v>0</v>
      </c>
      <c r="C32" s="5">
        <v>0</v>
      </c>
      <c r="D32" s="5">
        <v>1</v>
      </c>
      <c r="E32" s="5">
        <v>204</v>
      </c>
      <c r="F32" s="5">
        <v>259.47000000000003</v>
      </c>
      <c r="G32" s="5" t="s">
        <v>97</v>
      </c>
      <c r="H32" s="5" t="s">
        <v>98</v>
      </c>
      <c r="I32" s="5"/>
      <c r="J32" s="5"/>
      <c r="K32" s="5">
        <v>204</v>
      </c>
      <c r="L32" s="5">
        <v>13</v>
      </c>
      <c r="M32" s="5">
        <v>3</v>
      </c>
      <c r="N32" s="5" t="s">
        <v>3</v>
      </c>
      <c r="O32" s="5">
        <v>2</v>
      </c>
      <c r="P32" s="5">
        <v>6517.71</v>
      </c>
    </row>
    <row r="33" spans="1:16" x14ac:dyDescent="0.2">
      <c r="A33" s="5">
        <v>50</v>
      </c>
      <c r="B33" s="5">
        <v>0</v>
      </c>
      <c r="C33" s="5">
        <v>0</v>
      </c>
      <c r="D33" s="5">
        <v>1</v>
      </c>
      <c r="E33" s="5">
        <v>205</v>
      </c>
      <c r="F33" s="5">
        <v>4236.21</v>
      </c>
      <c r="G33" s="5" t="s">
        <v>99</v>
      </c>
      <c r="H33" s="5" t="s">
        <v>100</v>
      </c>
      <c r="I33" s="5"/>
      <c r="J33" s="5"/>
      <c r="K33" s="5">
        <v>205</v>
      </c>
      <c r="L33" s="5">
        <v>14</v>
      </c>
      <c r="M33" s="5">
        <v>3</v>
      </c>
      <c r="N33" s="5" t="s">
        <v>3</v>
      </c>
      <c r="O33" s="5">
        <v>2</v>
      </c>
      <c r="P33" s="5">
        <v>106455.96</v>
      </c>
    </row>
    <row r="34" spans="1:16" x14ac:dyDescent="0.2">
      <c r="A34" s="5">
        <v>50</v>
      </c>
      <c r="B34" s="5">
        <v>0</v>
      </c>
      <c r="C34" s="5">
        <v>0</v>
      </c>
      <c r="D34" s="5">
        <v>1</v>
      </c>
      <c r="E34" s="5">
        <v>232</v>
      </c>
      <c r="F34" s="5">
        <v>0</v>
      </c>
      <c r="G34" s="5" t="s">
        <v>101</v>
      </c>
      <c r="H34" s="5" t="s">
        <v>102</v>
      </c>
      <c r="I34" s="5"/>
      <c r="J34" s="5"/>
      <c r="K34" s="5">
        <v>232</v>
      </c>
      <c r="L34" s="5">
        <v>15</v>
      </c>
      <c r="M34" s="5">
        <v>3</v>
      </c>
      <c r="N34" s="5" t="s">
        <v>3</v>
      </c>
      <c r="O34" s="5">
        <v>2</v>
      </c>
      <c r="P34" s="5">
        <v>0</v>
      </c>
    </row>
    <row r="35" spans="1:16" x14ac:dyDescent="0.2">
      <c r="A35" s="5">
        <v>50</v>
      </c>
      <c r="B35" s="5">
        <v>0</v>
      </c>
      <c r="C35" s="5">
        <v>0</v>
      </c>
      <c r="D35" s="5">
        <v>1</v>
      </c>
      <c r="E35" s="5">
        <v>214</v>
      </c>
      <c r="F35" s="5">
        <v>298677.96000000002</v>
      </c>
      <c r="G35" s="5" t="s">
        <v>103</v>
      </c>
      <c r="H35" s="5" t="s">
        <v>104</v>
      </c>
      <c r="I35" s="5"/>
      <c r="J35" s="5"/>
      <c r="K35" s="5">
        <v>214</v>
      </c>
      <c r="L35" s="5">
        <v>16</v>
      </c>
      <c r="M35" s="5">
        <v>3</v>
      </c>
      <c r="N35" s="5" t="s">
        <v>3</v>
      </c>
      <c r="O35" s="5">
        <v>2</v>
      </c>
      <c r="P35" s="5">
        <v>1026198.88</v>
      </c>
    </row>
    <row r="36" spans="1:16" x14ac:dyDescent="0.2">
      <c r="A36" s="5">
        <v>50</v>
      </c>
      <c r="B36" s="5">
        <v>0</v>
      </c>
      <c r="C36" s="5">
        <v>0</v>
      </c>
      <c r="D36" s="5">
        <v>1</v>
      </c>
      <c r="E36" s="5">
        <v>215</v>
      </c>
      <c r="F36" s="5">
        <v>0</v>
      </c>
      <c r="G36" s="5" t="s">
        <v>105</v>
      </c>
      <c r="H36" s="5" t="s">
        <v>106</v>
      </c>
      <c r="I36" s="5"/>
      <c r="J36" s="5"/>
      <c r="K36" s="5">
        <v>215</v>
      </c>
      <c r="L36" s="5">
        <v>17</v>
      </c>
      <c r="M36" s="5">
        <v>3</v>
      </c>
      <c r="N36" s="5" t="s">
        <v>3</v>
      </c>
      <c r="O36" s="5">
        <v>2</v>
      </c>
      <c r="P36" s="5">
        <v>0</v>
      </c>
    </row>
    <row r="37" spans="1:16" x14ac:dyDescent="0.2">
      <c r="A37" s="5">
        <v>50</v>
      </c>
      <c r="B37" s="5">
        <v>0</v>
      </c>
      <c r="C37" s="5">
        <v>0</v>
      </c>
      <c r="D37" s="5">
        <v>1</v>
      </c>
      <c r="E37" s="5">
        <v>217</v>
      </c>
      <c r="F37" s="5">
        <v>7451.74</v>
      </c>
      <c r="G37" s="5" t="s">
        <v>107</v>
      </c>
      <c r="H37" s="5" t="s">
        <v>108</v>
      </c>
      <c r="I37" s="5"/>
      <c r="J37" s="5"/>
      <c r="K37" s="5">
        <v>217</v>
      </c>
      <c r="L37" s="5">
        <v>18</v>
      </c>
      <c r="M37" s="5">
        <v>3</v>
      </c>
      <c r="N37" s="5" t="s">
        <v>3</v>
      </c>
      <c r="O37" s="5">
        <v>2</v>
      </c>
      <c r="P37" s="5">
        <v>72144.649999999994</v>
      </c>
    </row>
    <row r="38" spans="1:16" x14ac:dyDescent="0.2">
      <c r="A38" s="5">
        <v>50</v>
      </c>
      <c r="B38" s="5">
        <v>0</v>
      </c>
      <c r="C38" s="5">
        <v>0</v>
      </c>
      <c r="D38" s="5">
        <v>1</v>
      </c>
      <c r="E38" s="5">
        <v>230</v>
      </c>
      <c r="F38" s="5">
        <v>0</v>
      </c>
      <c r="G38" s="5" t="s">
        <v>109</v>
      </c>
      <c r="H38" s="5" t="s">
        <v>110</v>
      </c>
      <c r="I38" s="5"/>
      <c r="J38" s="5"/>
      <c r="K38" s="5">
        <v>230</v>
      </c>
      <c r="L38" s="5">
        <v>19</v>
      </c>
      <c r="M38" s="5">
        <v>3</v>
      </c>
      <c r="N38" s="5" t="s">
        <v>3</v>
      </c>
      <c r="O38" s="5">
        <v>2</v>
      </c>
      <c r="P38" s="5">
        <v>0</v>
      </c>
    </row>
    <row r="39" spans="1:16" x14ac:dyDescent="0.2">
      <c r="A39" s="5">
        <v>50</v>
      </c>
      <c r="B39" s="5">
        <v>0</v>
      </c>
      <c r="C39" s="5">
        <v>0</v>
      </c>
      <c r="D39" s="5">
        <v>1</v>
      </c>
      <c r="E39" s="5">
        <v>206</v>
      </c>
      <c r="F39" s="5">
        <v>0</v>
      </c>
      <c r="G39" s="5" t="s">
        <v>111</v>
      </c>
      <c r="H39" s="5" t="s">
        <v>112</v>
      </c>
      <c r="I39" s="5"/>
      <c r="J39" s="5"/>
      <c r="K39" s="5">
        <v>206</v>
      </c>
      <c r="L39" s="5">
        <v>20</v>
      </c>
      <c r="M39" s="5">
        <v>3</v>
      </c>
      <c r="N39" s="5" t="s">
        <v>3</v>
      </c>
      <c r="O39" s="5">
        <v>2</v>
      </c>
      <c r="P39" s="5">
        <v>0</v>
      </c>
    </row>
    <row r="40" spans="1:16" x14ac:dyDescent="0.2">
      <c r="A40" s="5">
        <v>50</v>
      </c>
      <c r="B40" s="5">
        <v>0</v>
      </c>
      <c r="C40" s="5">
        <v>0</v>
      </c>
      <c r="D40" s="5">
        <v>1</v>
      </c>
      <c r="E40" s="5">
        <v>207</v>
      </c>
      <c r="F40" s="5">
        <v>375.46125959999995</v>
      </c>
      <c r="G40" s="5" t="s">
        <v>113</v>
      </c>
      <c r="H40" s="5" t="s">
        <v>114</v>
      </c>
      <c r="I40" s="5"/>
      <c r="J40" s="5"/>
      <c r="K40" s="5">
        <v>207</v>
      </c>
      <c r="L40" s="5">
        <v>21</v>
      </c>
      <c r="M40" s="5">
        <v>3</v>
      </c>
      <c r="N40" s="5" t="s">
        <v>3</v>
      </c>
      <c r="O40" s="5">
        <v>-1</v>
      </c>
      <c r="P40" s="5">
        <v>375.46125959999995</v>
      </c>
    </row>
    <row r="41" spans="1:16" x14ac:dyDescent="0.2">
      <c r="A41" s="5">
        <v>50</v>
      </c>
      <c r="B41" s="5">
        <v>0</v>
      </c>
      <c r="C41" s="5">
        <v>0</v>
      </c>
      <c r="D41" s="5">
        <v>1</v>
      </c>
      <c r="E41" s="5">
        <v>208</v>
      </c>
      <c r="F41" s="5">
        <v>0</v>
      </c>
      <c r="G41" s="5" t="s">
        <v>115</v>
      </c>
      <c r="H41" s="5" t="s">
        <v>116</v>
      </c>
      <c r="I41" s="5"/>
      <c r="J41" s="5"/>
      <c r="K41" s="5">
        <v>208</v>
      </c>
      <c r="L41" s="5">
        <v>22</v>
      </c>
      <c r="M41" s="5">
        <v>3</v>
      </c>
      <c r="N41" s="5" t="s">
        <v>3</v>
      </c>
      <c r="O41" s="5">
        <v>-1</v>
      </c>
      <c r="P41" s="5">
        <v>0</v>
      </c>
    </row>
    <row r="42" spans="1:16" x14ac:dyDescent="0.2">
      <c r="A42" s="5">
        <v>50</v>
      </c>
      <c r="B42" s="5">
        <v>0</v>
      </c>
      <c r="C42" s="5">
        <v>0</v>
      </c>
      <c r="D42" s="5">
        <v>1</v>
      </c>
      <c r="E42" s="5">
        <v>209</v>
      </c>
      <c r="F42" s="5">
        <v>0</v>
      </c>
      <c r="G42" s="5" t="s">
        <v>117</v>
      </c>
      <c r="H42" s="5" t="s">
        <v>118</v>
      </c>
      <c r="I42" s="5"/>
      <c r="J42" s="5"/>
      <c r="K42" s="5">
        <v>209</v>
      </c>
      <c r="L42" s="5">
        <v>23</v>
      </c>
      <c r="M42" s="5">
        <v>3</v>
      </c>
      <c r="N42" s="5" t="s">
        <v>3</v>
      </c>
      <c r="O42" s="5">
        <v>2</v>
      </c>
      <c r="P42" s="5">
        <v>0</v>
      </c>
    </row>
    <row r="43" spans="1:16" x14ac:dyDescent="0.2">
      <c r="A43" s="5">
        <v>50</v>
      </c>
      <c r="B43" s="5">
        <v>0</v>
      </c>
      <c r="C43" s="5">
        <v>0</v>
      </c>
      <c r="D43" s="5">
        <v>1</v>
      </c>
      <c r="E43" s="5">
        <v>233</v>
      </c>
      <c r="F43" s="5">
        <v>0</v>
      </c>
      <c r="G43" s="5" t="s">
        <v>119</v>
      </c>
      <c r="H43" s="5" t="s">
        <v>120</v>
      </c>
      <c r="I43" s="5"/>
      <c r="J43" s="5"/>
      <c r="K43" s="5">
        <v>233</v>
      </c>
      <c r="L43" s="5">
        <v>24</v>
      </c>
      <c r="M43" s="5">
        <v>3</v>
      </c>
      <c r="N43" s="5" t="s">
        <v>3</v>
      </c>
      <c r="O43" s="5">
        <v>2</v>
      </c>
      <c r="P43" s="5">
        <v>0</v>
      </c>
    </row>
    <row r="44" spans="1:16" x14ac:dyDescent="0.2">
      <c r="A44" s="5">
        <v>50</v>
      </c>
      <c r="B44" s="5">
        <v>0</v>
      </c>
      <c r="C44" s="5">
        <v>0</v>
      </c>
      <c r="D44" s="5">
        <v>1</v>
      </c>
      <c r="E44" s="5">
        <v>210</v>
      </c>
      <c r="F44" s="5">
        <v>5749.91</v>
      </c>
      <c r="G44" s="5" t="s">
        <v>121</v>
      </c>
      <c r="H44" s="5" t="s">
        <v>122</v>
      </c>
      <c r="I44" s="5"/>
      <c r="J44" s="5"/>
      <c r="K44" s="5">
        <v>210</v>
      </c>
      <c r="L44" s="5">
        <v>25</v>
      </c>
      <c r="M44" s="5">
        <v>3</v>
      </c>
      <c r="N44" s="5" t="s">
        <v>3</v>
      </c>
      <c r="O44" s="5">
        <v>2</v>
      </c>
      <c r="P44" s="5">
        <v>108387.81</v>
      </c>
    </row>
    <row r="45" spans="1:16" x14ac:dyDescent="0.2">
      <c r="A45" s="5">
        <v>50</v>
      </c>
      <c r="B45" s="5">
        <v>0</v>
      </c>
      <c r="C45" s="5">
        <v>0</v>
      </c>
      <c r="D45" s="5">
        <v>1</v>
      </c>
      <c r="E45" s="5">
        <v>211</v>
      </c>
      <c r="F45" s="5">
        <v>3602.9</v>
      </c>
      <c r="G45" s="5" t="s">
        <v>123</v>
      </c>
      <c r="H45" s="5" t="s">
        <v>124</v>
      </c>
      <c r="I45" s="5"/>
      <c r="J45" s="5"/>
      <c r="K45" s="5">
        <v>211</v>
      </c>
      <c r="L45" s="5">
        <v>26</v>
      </c>
      <c r="M45" s="5">
        <v>3</v>
      </c>
      <c r="N45" s="5" t="s">
        <v>3</v>
      </c>
      <c r="O45" s="5">
        <v>2</v>
      </c>
      <c r="P45" s="5">
        <v>48349.14</v>
      </c>
    </row>
    <row r="46" spans="1:16" x14ac:dyDescent="0.2">
      <c r="A46" s="5">
        <v>50</v>
      </c>
      <c r="B46" s="5">
        <v>0</v>
      </c>
      <c r="C46" s="5">
        <v>0</v>
      </c>
      <c r="D46" s="5">
        <v>1</v>
      </c>
      <c r="E46" s="5">
        <v>0</v>
      </c>
      <c r="F46" s="5">
        <v>306129.7</v>
      </c>
      <c r="G46" s="5" t="s">
        <v>125</v>
      </c>
      <c r="H46" s="5" t="s">
        <v>126</v>
      </c>
      <c r="I46" s="5"/>
      <c r="J46" s="5"/>
      <c r="K46" s="5">
        <v>224</v>
      </c>
      <c r="L46" s="5">
        <v>27</v>
      </c>
      <c r="M46" s="5">
        <v>3</v>
      </c>
      <c r="N46" s="5" t="s">
        <v>3</v>
      </c>
      <c r="O46" s="5">
        <v>2</v>
      </c>
      <c r="P46" s="5">
        <v>1098343.53</v>
      </c>
    </row>
    <row r="47" spans="1:16" x14ac:dyDescent="0.2">
      <c r="A47" s="5">
        <v>50</v>
      </c>
      <c r="B47" s="5">
        <v>1</v>
      </c>
      <c r="C47" s="5">
        <v>0</v>
      </c>
      <c r="D47" s="5">
        <v>2</v>
      </c>
      <c r="E47" s="5">
        <v>0</v>
      </c>
      <c r="F47" s="5">
        <v>61225.94</v>
      </c>
      <c r="G47" s="5" t="s">
        <v>251</v>
      </c>
      <c r="H47" s="5" t="s">
        <v>252</v>
      </c>
      <c r="I47" s="5"/>
      <c r="J47" s="5"/>
      <c r="K47" s="5">
        <v>212</v>
      </c>
      <c r="L47" s="5">
        <v>28</v>
      </c>
      <c r="M47" s="5">
        <v>0</v>
      </c>
      <c r="N47" s="5" t="s">
        <v>3</v>
      </c>
      <c r="O47" s="5">
        <v>2</v>
      </c>
      <c r="P47" s="5">
        <v>219668.71</v>
      </c>
    </row>
    <row r="48" spans="1:16" x14ac:dyDescent="0.2">
      <c r="A48" s="5">
        <v>50</v>
      </c>
      <c r="B48" s="5">
        <v>1</v>
      </c>
      <c r="C48" s="5">
        <v>0</v>
      </c>
      <c r="D48" s="5">
        <v>2</v>
      </c>
      <c r="E48" s="5">
        <v>224</v>
      </c>
      <c r="F48" s="5">
        <v>367355.64</v>
      </c>
      <c r="G48" s="5" t="s">
        <v>253</v>
      </c>
      <c r="H48" s="5" t="s">
        <v>254</v>
      </c>
      <c r="I48" s="5"/>
      <c r="J48" s="5"/>
      <c r="K48" s="5">
        <v>212</v>
      </c>
      <c r="L48" s="5">
        <v>29</v>
      </c>
      <c r="M48" s="5">
        <v>0</v>
      </c>
      <c r="N48" s="5" t="s">
        <v>3</v>
      </c>
      <c r="O48" s="5">
        <v>2</v>
      </c>
      <c r="P48" s="5">
        <v>1318012.24</v>
      </c>
    </row>
    <row r="50" spans="1:27" x14ac:dyDescent="0.2">
      <c r="A50">
        <v>-1</v>
      </c>
    </row>
    <row r="53" spans="1:27" x14ac:dyDescent="0.2">
      <c r="A53" s="4">
        <v>75</v>
      </c>
      <c r="B53" s="4" t="s">
        <v>256</v>
      </c>
      <c r="C53" s="4">
        <v>2000</v>
      </c>
      <c r="D53" s="4">
        <v>0</v>
      </c>
      <c r="E53" s="4">
        <v>1</v>
      </c>
      <c r="F53" s="4"/>
      <c r="G53" s="4">
        <v>0</v>
      </c>
      <c r="H53" s="4">
        <v>1</v>
      </c>
      <c r="I53" s="4">
        <v>0</v>
      </c>
      <c r="J53" s="4">
        <v>1</v>
      </c>
      <c r="K53" s="4">
        <v>98</v>
      </c>
      <c r="L53" s="4">
        <v>77</v>
      </c>
      <c r="M53" s="4">
        <v>0</v>
      </c>
      <c r="N53" s="4">
        <v>45748053</v>
      </c>
      <c r="O53" s="4">
        <v>1</v>
      </c>
    </row>
    <row r="54" spans="1:27" x14ac:dyDescent="0.2">
      <c r="A54" s="4">
        <v>75</v>
      </c>
      <c r="B54" s="4" t="s">
        <v>257</v>
      </c>
      <c r="C54" s="4">
        <v>2021</v>
      </c>
      <c r="D54" s="4">
        <v>0</v>
      </c>
      <c r="E54" s="4">
        <v>4</v>
      </c>
      <c r="F54" s="4"/>
      <c r="G54" s="4">
        <v>0</v>
      </c>
      <c r="H54" s="4">
        <v>2</v>
      </c>
      <c r="I54" s="4">
        <v>1</v>
      </c>
      <c r="J54" s="4">
        <v>1</v>
      </c>
      <c r="K54" s="4">
        <v>93</v>
      </c>
      <c r="L54" s="4">
        <v>64</v>
      </c>
      <c r="M54" s="4">
        <v>1</v>
      </c>
      <c r="N54" s="4">
        <v>45747932</v>
      </c>
      <c r="O54" s="4">
        <v>2</v>
      </c>
    </row>
    <row r="55" spans="1:27" x14ac:dyDescent="0.2">
      <c r="A55" s="7">
        <v>1</v>
      </c>
      <c r="B55" s="7" t="s">
        <v>258</v>
      </c>
      <c r="C55" s="7" t="s">
        <v>259</v>
      </c>
      <c r="D55" s="7">
        <v>2021</v>
      </c>
      <c r="E55" s="7">
        <v>4</v>
      </c>
      <c r="F55" s="7">
        <v>1</v>
      </c>
      <c r="G55" s="7">
        <v>1</v>
      </c>
      <c r="H55" s="7">
        <v>0</v>
      </c>
      <c r="I55" s="7">
        <v>2</v>
      </c>
      <c r="J55" s="7">
        <v>1</v>
      </c>
      <c r="K55" s="7">
        <v>5.98</v>
      </c>
      <c r="L55" s="7">
        <v>4.7699999999999996</v>
      </c>
      <c r="M55" s="7">
        <v>1</v>
      </c>
      <c r="N55" s="7">
        <v>1</v>
      </c>
      <c r="O55" s="7">
        <v>5.98</v>
      </c>
      <c r="P55" s="7">
        <v>4.7699999999999996</v>
      </c>
      <c r="Q55" s="7">
        <v>1</v>
      </c>
      <c r="R55" s="7" t="s">
        <v>3</v>
      </c>
      <c r="S55" s="7" t="s">
        <v>3</v>
      </c>
      <c r="T55" s="7" t="s">
        <v>3</v>
      </c>
      <c r="U55" s="7" t="s">
        <v>3</v>
      </c>
      <c r="V55" s="7" t="s">
        <v>3</v>
      </c>
      <c r="W55" s="7" t="s">
        <v>3</v>
      </c>
      <c r="X55" s="7" t="s">
        <v>3</v>
      </c>
      <c r="Y55" s="7" t="s">
        <v>3</v>
      </c>
      <c r="Z55" s="7" t="s">
        <v>3</v>
      </c>
      <c r="AA55" s="7" t="s">
        <v>260</v>
      </c>
    </row>
    <row r="56" spans="1:27" x14ac:dyDescent="0.2">
      <c r="A56" s="7">
        <v>1</v>
      </c>
      <c r="B56" s="7" t="s">
        <v>258</v>
      </c>
      <c r="C56" s="7" t="s">
        <v>261</v>
      </c>
      <c r="D56" s="7">
        <v>2021</v>
      </c>
      <c r="E56" s="7">
        <v>3</v>
      </c>
      <c r="F56" s="7">
        <v>1</v>
      </c>
      <c r="G56" s="7">
        <v>1</v>
      </c>
      <c r="H56" s="7">
        <v>0</v>
      </c>
      <c r="I56" s="7">
        <v>2</v>
      </c>
      <c r="J56" s="7">
        <v>1</v>
      </c>
      <c r="K56" s="7">
        <v>1</v>
      </c>
      <c r="L56" s="7">
        <v>1</v>
      </c>
      <c r="M56" s="7">
        <v>1</v>
      </c>
      <c r="N56" s="7">
        <v>1</v>
      </c>
      <c r="O56" s="7">
        <v>1</v>
      </c>
      <c r="P56" s="7">
        <v>1</v>
      </c>
      <c r="Q56" s="7">
        <v>1</v>
      </c>
      <c r="R56" s="7" t="s">
        <v>3</v>
      </c>
      <c r="S56" s="7" t="s">
        <v>3</v>
      </c>
      <c r="T56" s="7" t="s">
        <v>3</v>
      </c>
      <c r="U56" s="7" t="s">
        <v>3</v>
      </c>
      <c r="V56" s="7" t="s">
        <v>3</v>
      </c>
      <c r="W56" s="7" t="s">
        <v>3</v>
      </c>
      <c r="X56" s="7" t="s">
        <v>3</v>
      </c>
      <c r="Y56" s="7" t="s">
        <v>3</v>
      </c>
      <c r="Z56" s="7" t="s">
        <v>3</v>
      </c>
      <c r="AA56" s="7" t="s">
        <v>3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C13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07" x14ac:dyDescent="0.2">
      <c r="A1">
        <f>ROW(Source!A30)</f>
        <v>30</v>
      </c>
      <c r="B1">
        <v>45748053</v>
      </c>
      <c r="C1">
        <v>45748189</v>
      </c>
      <c r="D1">
        <v>24859163</v>
      </c>
      <c r="E1">
        <v>24859158</v>
      </c>
      <c r="F1">
        <v>1</v>
      </c>
      <c r="G1">
        <v>24859158</v>
      </c>
      <c r="H1">
        <v>1</v>
      </c>
      <c r="I1" t="s">
        <v>263</v>
      </c>
      <c r="J1" t="s">
        <v>3</v>
      </c>
      <c r="K1" t="s">
        <v>264</v>
      </c>
      <c r="L1">
        <v>1191</v>
      </c>
      <c r="N1">
        <v>1013</v>
      </c>
      <c r="O1" t="s">
        <v>265</v>
      </c>
      <c r="P1" t="s">
        <v>265</v>
      </c>
      <c r="Q1">
        <v>1</v>
      </c>
      <c r="W1">
        <v>0</v>
      </c>
      <c r="X1">
        <v>476480486</v>
      </c>
      <c r="Y1">
        <v>155</v>
      </c>
      <c r="AA1">
        <v>0</v>
      </c>
      <c r="AB1">
        <v>0</v>
      </c>
      <c r="AC1">
        <v>0</v>
      </c>
      <c r="AD1">
        <v>0</v>
      </c>
      <c r="AE1">
        <v>0</v>
      </c>
      <c r="AF1">
        <v>0</v>
      </c>
      <c r="AG1">
        <v>0</v>
      </c>
      <c r="AH1">
        <v>0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0</v>
      </c>
      <c r="AQ1">
        <v>0</v>
      </c>
      <c r="AR1">
        <v>0</v>
      </c>
      <c r="AS1" t="s">
        <v>3</v>
      </c>
      <c r="AT1">
        <v>155</v>
      </c>
      <c r="AU1" t="s">
        <v>3</v>
      </c>
      <c r="AV1">
        <v>1</v>
      </c>
      <c r="AW1">
        <v>2</v>
      </c>
      <c r="AX1">
        <v>45748212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Y1*Source!I30</f>
        <v>18.599999999999998</v>
      </c>
      <c r="CY1">
        <f>AD1</f>
        <v>0</v>
      </c>
      <c r="CZ1">
        <f>AH1</f>
        <v>0</v>
      </c>
      <c r="DA1">
        <f>AL1</f>
        <v>1</v>
      </c>
      <c r="DB1">
        <f t="shared" ref="DB1:DB32" si="0">ROUND(ROUND(AT1*CZ1,2),6)</f>
        <v>0</v>
      </c>
      <c r="DC1">
        <f t="shared" ref="DC1:DC32" si="1">ROUND(ROUND(AT1*AG1,2),6)</f>
        <v>0</v>
      </c>
    </row>
    <row r="2" spans="1:107" x14ac:dyDescent="0.2">
      <c r="A2">
        <f>ROW(Source!A30)</f>
        <v>30</v>
      </c>
      <c r="B2">
        <v>45748053</v>
      </c>
      <c r="C2">
        <v>45748189</v>
      </c>
      <c r="D2">
        <v>24932005</v>
      </c>
      <c r="E2">
        <v>1</v>
      </c>
      <c r="F2">
        <v>1</v>
      </c>
      <c r="G2">
        <v>24859158</v>
      </c>
      <c r="H2">
        <v>2</v>
      </c>
      <c r="I2" t="s">
        <v>266</v>
      </c>
      <c r="J2" t="s">
        <v>267</v>
      </c>
      <c r="K2" t="s">
        <v>268</v>
      </c>
      <c r="L2">
        <v>1367</v>
      </c>
      <c r="N2">
        <v>1011</v>
      </c>
      <c r="O2" t="s">
        <v>269</v>
      </c>
      <c r="P2" t="s">
        <v>269</v>
      </c>
      <c r="Q2">
        <v>1</v>
      </c>
      <c r="W2">
        <v>0</v>
      </c>
      <c r="X2">
        <v>-1426791</v>
      </c>
      <c r="Y2">
        <v>37.5</v>
      </c>
      <c r="AA2">
        <v>0</v>
      </c>
      <c r="AB2">
        <v>60.77</v>
      </c>
      <c r="AC2">
        <v>18.48</v>
      </c>
      <c r="AD2">
        <v>0</v>
      </c>
      <c r="AE2">
        <v>0</v>
      </c>
      <c r="AF2">
        <v>60.77</v>
      </c>
      <c r="AG2">
        <v>18.48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0</v>
      </c>
      <c r="AQ2">
        <v>0</v>
      </c>
      <c r="AR2">
        <v>0</v>
      </c>
      <c r="AS2" t="s">
        <v>3</v>
      </c>
      <c r="AT2">
        <v>37.5</v>
      </c>
      <c r="AU2" t="s">
        <v>3</v>
      </c>
      <c r="AV2">
        <v>0</v>
      </c>
      <c r="AW2">
        <v>2</v>
      </c>
      <c r="AX2">
        <v>45748213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Y2*Source!I30</f>
        <v>4.5</v>
      </c>
      <c r="CY2">
        <f>AB2</f>
        <v>60.77</v>
      </c>
      <c r="CZ2">
        <f>AF2</f>
        <v>60.77</v>
      </c>
      <c r="DA2">
        <f>AJ2</f>
        <v>1</v>
      </c>
      <c r="DB2">
        <f t="shared" si="0"/>
        <v>2278.88</v>
      </c>
      <c r="DC2">
        <f t="shared" si="1"/>
        <v>693</v>
      </c>
    </row>
    <row r="3" spans="1:107" x14ac:dyDescent="0.2">
      <c r="A3">
        <f>ROW(Source!A30)</f>
        <v>30</v>
      </c>
      <c r="B3">
        <v>45748053</v>
      </c>
      <c r="C3">
        <v>45748189</v>
      </c>
      <c r="D3">
        <v>24932464</v>
      </c>
      <c r="E3">
        <v>1</v>
      </c>
      <c r="F3">
        <v>1</v>
      </c>
      <c r="G3">
        <v>24859158</v>
      </c>
      <c r="H3">
        <v>2</v>
      </c>
      <c r="I3" t="s">
        <v>270</v>
      </c>
      <c r="J3" t="s">
        <v>271</v>
      </c>
      <c r="K3" t="s">
        <v>272</v>
      </c>
      <c r="L3">
        <v>1367</v>
      </c>
      <c r="N3">
        <v>1011</v>
      </c>
      <c r="O3" t="s">
        <v>269</v>
      </c>
      <c r="P3" t="s">
        <v>269</v>
      </c>
      <c r="Q3">
        <v>1</v>
      </c>
      <c r="W3">
        <v>0</v>
      </c>
      <c r="X3">
        <v>-48163219</v>
      </c>
      <c r="Y3">
        <v>75</v>
      </c>
      <c r="AA3">
        <v>0</v>
      </c>
      <c r="AB3">
        <v>3.16</v>
      </c>
      <c r="AC3">
        <v>0.04</v>
      </c>
      <c r="AD3">
        <v>0</v>
      </c>
      <c r="AE3">
        <v>0</v>
      </c>
      <c r="AF3">
        <v>3.16</v>
      </c>
      <c r="AG3">
        <v>0.04</v>
      </c>
      <c r="AH3">
        <v>0</v>
      </c>
      <c r="AI3">
        <v>1</v>
      </c>
      <c r="AJ3">
        <v>1</v>
      </c>
      <c r="AK3">
        <v>1</v>
      </c>
      <c r="AL3">
        <v>1</v>
      </c>
      <c r="AN3">
        <v>0</v>
      </c>
      <c r="AO3">
        <v>1</v>
      </c>
      <c r="AP3">
        <v>0</v>
      </c>
      <c r="AQ3">
        <v>0</v>
      </c>
      <c r="AR3">
        <v>0</v>
      </c>
      <c r="AS3" t="s">
        <v>3</v>
      </c>
      <c r="AT3">
        <v>75</v>
      </c>
      <c r="AU3" t="s">
        <v>3</v>
      </c>
      <c r="AV3">
        <v>0</v>
      </c>
      <c r="AW3">
        <v>2</v>
      </c>
      <c r="AX3">
        <v>45748214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Y3*Source!I30</f>
        <v>9</v>
      </c>
      <c r="CY3">
        <f>AB3</f>
        <v>3.16</v>
      </c>
      <c r="CZ3">
        <f>AF3</f>
        <v>3.16</v>
      </c>
      <c r="DA3">
        <f>AJ3</f>
        <v>1</v>
      </c>
      <c r="DB3">
        <f t="shared" si="0"/>
        <v>237</v>
      </c>
      <c r="DC3">
        <f t="shared" si="1"/>
        <v>3</v>
      </c>
    </row>
    <row r="4" spans="1:107" x14ac:dyDescent="0.2">
      <c r="A4">
        <f>ROW(Source!A30)</f>
        <v>30</v>
      </c>
      <c r="B4">
        <v>45748053</v>
      </c>
      <c r="C4">
        <v>45748189</v>
      </c>
      <c r="D4">
        <v>24931840</v>
      </c>
      <c r="E4">
        <v>1</v>
      </c>
      <c r="F4">
        <v>1</v>
      </c>
      <c r="G4">
        <v>24859158</v>
      </c>
      <c r="H4">
        <v>2</v>
      </c>
      <c r="I4" t="s">
        <v>273</v>
      </c>
      <c r="J4" t="s">
        <v>274</v>
      </c>
      <c r="K4" t="s">
        <v>275</v>
      </c>
      <c r="L4">
        <v>1367</v>
      </c>
      <c r="N4">
        <v>1011</v>
      </c>
      <c r="O4" t="s">
        <v>269</v>
      </c>
      <c r="P4" t="s">
        <v>269</v>
      </c>
      <c r="Q4">
        <v>1</v>
      </c>
      <c r="W4">
        <v>0</v>
      </c>
      <c r="X4">
        <v>856318566</v>
      </c>
      <c r="Y4">
        <v>1.55</v>
      </c>
      <c r="AA4">
        <v>0</v>
      </c>
      <c r="AB4">
        <v>125.13</v>
      </c>
      <c r="AC4">
        <v>24.74</v>
      </c>
      <c r="AD4">
        <v>0</v>
      </c>
      <c r="AE4">
        <v>0</v>
      </c>
      <c r="AF4">
        <v>125.13</v>
      </c>
      <c r="AG4">
        <v>24.74</v>
      </c>
      <c r="AH4">
        <v>0</v>
      </c>
      <c r="AI4">
        <v>1</v>
      </c>
      <c r="AJ4">
        <v>1</v>
      </c>
      <c r="AK4">
        <v>1</v>
      </c>
      <c r="AL4">
        <v>1</v>
      </c>
      <c r="AN4">
        <v>0</v>
      </c>
      <c r="AO4">
        <v>1</v>
      </c>
      <c r="AP4">
        <v>0</v>
      </c>
      <c r="AQ4">
        <v>0</v>
      </c>
      <c r="AR4">
        <v>0</v>
      </c>
      <c r="AS4" t="s">
        <v>3</v>
      </c>
      <c r="AT4">
        <v>1.55</v>
      </c>
      <c r="AU4" t="s">
        <v>3</v>
      </c>
      <c r="AV4">
        <v>0</v>
      </c>
      <c r="AW4">
        <v>2</v>
      </c>
      <c r="AX4">
        <v>45748215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Y4*Source!I30</f>
        <v>0.186</v>
      </c>
      <c r="CY4">
        <f>AB4</f>
        <v>125.13</v>
      </c>
      <c r="CZ4">
        <f>AF4</f>
        <v>125.13</v>
      </c>
      <c r="DA4">
        <f>AJ4</f>
        <v>1</v>
      </c>
      <c r="DB4">
        <f t="shared" si="0"/>
        <v>193.95</v>
      </c>
      <c r="DC4">
        <f t="shared" si="1"/>
        <v>38.35</v>
      </c>
    </row>
    <row r="5" spans="1:107" x14ac:dyDescent="0.2">
      <c r="A5">
        <f>ROW(Source!A30)</f>
        <v>30</v>
      </c>
      <c r="B5">
        <v>45748053</v>
      </c>
      <c r="C5">
        <v>45748189</v>
      </c>
      <c r="D5">
        <v>24859885</v>
      </c>
      <c r="E5">
        <v>24859158</v>
      </c>
      <c r="F5">
        <v>1</v>
      </c>
      <c r="G5">
        <v>24859158</v>
      </c>
      <c r="H5">
        <v>2</v>
      </c>
      <c r="I5" t="s">
        <v>276</v>
      </c>
      <c r="J5" t="s">
        <v>3</v>
      </c>
      <c r="K5" t="s">
        <v>277</v>
      </c>
      <c r="L5">
        <v>1344</v>
      </c>
      <c r="N5">
        <v>1008</v>
      </c>
      <c r="O5" t="s">
        <v>278</v>
      </c>
      <c r="P5" t="s">
        <v>278</v>
      </c>
      <c r="Q5">
        <v>1</v>
      </c>
      <c r="W5">
        <v>0</v>
      </c>
      <c r="X5">
        <v>-1180195794</v>
      </c>
      <c r="Y5">
        <v>3.72</v>
      </c>
      <c r="AA5">
        <v>0</v>
      </c>
      <c r="AB5">
        <v>1</v>
      </c>
      <c r="AC5">
        <v>0</v>
      </c>
      <c r="AD5">
        <v>0</v>
      </c>
      <c r="AE5">
        <v>0</v>
      </c>
      <c r="AF5">
        <v>1</v>
      </c>
      <c r="AG5">
        <v>0</v>
      </c>
      <c r="AH5">
        <v>0</v>
      </c>
      <c r="AI5">
        <v>1</v>
      </c>
      <c r="AJ5">
        <v>1</v>
      </c>
      <c r="AK5">
        <v>1</v>
      </c>
      <c r="AL5">
        <v>1</v>
      </c>
      <c r="AN5">
        <v>0</v>
      </c>
      <c r="AO5">
        <v>1</v>
      </c>
      <c r="AP5">
        <v>0</v>
      </c>
      <c r="AQ5">
        <v>0</v>
      </c>
      <c r="AR5">
        <v>0</v>
      </c>
      <c r="AS5" t="s">
        <v>3</v>
      </c>
      <c r="AT5">
        <v>3.72</v>
      </c>
      <c r="AU5" t="s">
        <v>3</v>
      </c>
      <c r="AV5">
        <v>0</v>
      </c>
      <c r="AW5">
        <v>2</v>
      </c>
      <c r="AX5">
        <v>45748216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Y5*Source!I30</f>
        <v>0.44640000000000002</v>
      </c>
      <c r="CY5">
        <f>AB5</f>
        <v>1</v>
      </c>
      <c r="CZ5">
        <f>AF5</f>
        <v>1</v>
      </c>
      <c r="DA5">
        <f>AJ5</f>
        <v>1</v>
      </c>
      <c r="DB5">
        <f t="shared" si="0"/>
        <v>3.72</v>
      </c>
      <c r="DC5">
        <f t="shared" si="1"/>
        <v>0</v>
      </c>
    </row>
    <row r="6" spans="1:107" x14ac:dyDescent="0.2">
      <c r="A6">
        <f>ROW(Source!A31)</f>
        <v>31</v>
      </c>
      <c r="B6">
        <v>45747932</v>
      </c>
      <c r="C6">
        <v>45748189</v>
      </c>
      <c r="D6">
        <v>24859163</v>
      </c>
      <c r="E6">
        <v>24859158</v>
      </c>
      <c r="F6">
        <v>1</v>
      </c>
      <c r="G6">
        <v>24859158</v>
      </c>
      <c r="H6">
        <v>1</v>
      </c>
      <c r="I6" t="s">
        <v>263</v>
      </c>
      <c r="J6" t="s">
        <v>3</v>
      </c>
      <c r="K6" t="s">
        <v>264</v>
      </c>
      <c r="L6">
        <v>1191</v>
      </c>
      <c r="N6">
        <v>1013</v>
      </c>
      <c r="O6" t="s">
        <v>265</v>
      </c>
      <c r="P6" t="s">
        <v>265</v>
      </c>
      <c r="Q6">
        <v>1</v>
      </c>
      <c r="W6">
        <v>0</v>
      </c>
      <c r="X6">
        <v>476480486</v>
      </c>
      <c r="Y6">
        <v>155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1</v>
      </c>
      <c r="AJ6">
        <v>1</v>
      </c>
      <c r="AK6">
        <v>1</v>
      </c>
      <c r="AL6">
        <v>1</v>
      </c>
      <c r="AN6">
        <v>0</v>
      </c>
      <c r="AO6">
        <v>1</v>
      </c>
      <c r="AP6">
        <v>0</v>
      </c>
      <c r="AQ6">
        <v>0</v>
      </c>
      <c r="AR6">
        <v>0</v>
      </c>
      <c r="AS6" t="s">
        <v>3</v>
      </c>
      <c r="AT6">
        <v>155</v>
      </c>
      <c r="AU6" t="s">
        <v>3</v>
      </c>
      <c r="AV6">
        <v>1</v>
      </c>
      <c r="AW6">
        <v>2</v>
      </c>
      <c r="AX6">
        <v>45748212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Y6*Source!I31</f>
        <v>18.599999999999998</v>
      </c>
      <c r="CY6">
        <f>AD6</f>
        <v>0</v>
      </c>
      <c r="CZ6">
        <f>AH6</f>
        <v>0</v>
      </c>
      <c r="DA6">
        <f>AL6</f>
        <v>1</v>
      </c>
      <c r="DB6">
        <f t="shared" si="0"/>
        <v>0</v>
      </c>
      <c r="DC6">
        <f t="shared" si="1"/>
        <v>0</v>
      </c>
    </row>
    <row r="7" spans="1:107" x14ac:dyDescent="0.2">
      <c r="A7">
        <f>ROW(Source!A31)</f>
        <v>31</v>
      </c>
      <c r="B7">
        <v>45747932</v>
      </c>
      <c r="C7">
        <v>45748189</v>
      </c>
      <c r="D7">
        <v>24932005</v>
      </c>
      <c r="E7">
        <v>1</v>
      </c>
      <c r="F7">
        <v>1</v>
      </c>
      <c r="G7">
        <v>24859158</v>
      </c>
      <c r="H7">
        <v>2</v>
      </c>
      <c r="I7" t="s">
        <v>266</v>
      </c>
      <c r="J7" t="s">
        <v>267</v>
      </c>
      <c r="K7" t="s">
        <v>268</v>
      </c>
      <c r="L7">
        <v>1367</v>
      </c>
      <c r="N7">
        <v>1011</v>
      </c>
      <c r="O7" t="s">
        <v>269</v>
      </c>
      <c r="P7" t="s">
        <v>269</v>
      </c>
      <c r="Q7">
        <v>1</v>
      </c>
      <c r="W7">
        <v>0</v>
      </c>
      <c r="X7">
        <v>-1426791</v>
      </c>
      <c r="Y7">
        <v>37.5</v>
      </c>
      <c r="AA7">
        <v>0</v>
      </c>
      <c r="AB7">
        <v>788.96</v>
      </c>
      <c r="AC7">
        <v>486.23</v>
      </c>
      <c r="AD7">
        <v>0</v>
      </c>
      <c r="AE7">
        <v>0</v>
      </c>
      <c r="AF7">
        <v>60.77</v>
      </c>
      <c r="AG7">
        <v>18.48</v>
      </c>
      <c r="AH7">
        <v>0</v>
      </c>
      <c r="AI7">
        <v>1</v>
      </c>
      <c r="AJ7">
        <v>12.4</v>
      </c>
      <c r="AK7">
        <v>25.13</v>
      </c>
      <c r="AL7">
        <v>1</v>
      </c>
      <c r="AN7">
        <v>0</v>
      </c>
      <c r="AO7">
        <v>1</v>
      </c>
      <c r="AP7">
        <v>0</v>
      </c>
      <c r="AQ7">
        <v>0</v>
      </c>
      <c r="AR7">
        <v>0</v>
      </c>
      <c r="AS7" t="s">
        <v>3</v>
      </c>
      <c r="AT7">
        <v>37.5</v>
      </c>
      <c r="AU7" t="s">
        <v>3</v>
      </c>
      <c r="AV7">
        <v>0</v>
      </c>
      <c r="AW7">
        <v>2</v>
      </c>
      <c r="AX7">
        <v>45748213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Y7*Source!I31</f>
        <v>4.5</v>
      </c>
      <c r="CY7">
        <f t="shared" ref="CY7:CY12" si="2">AB7</f>
        <v>788.96</v>
      </c>
      <c r="CZ7">
        <f t="shared" ref="CZ7:CZ12" si="3">AF7</f>
        <v>60.77</v>
      </c>
      <c r="DA7">
        <f t="shared" ref="DA7:DA12" si="4">AJ7</f>
        <v>12.4</v>
      </c>
      <c r="DB7">
        <f t="shared" si="0"/>
        <v>2278.88</v>
      </c>
      <c r="DC7">
        <f t="shared" si="1"/>
        <v>693</v>
      </c>
    </row>
    <row r="8" spans="1:107" x14ac:dyDescent="0.2">
      <c r="A8">
        <f>ROW(Source!A31)</f>
        <v>31</v>
      </c>
      <c r="B8">
        <v>45747932</v>
      </c>
      <c r="C8">
        <v>45748189</v>
      </c>
      <c r="D8">
        <v>24932464</v>
      </c>
      <c r="E8">
        <v>1</v>
      </c>
      <c r="F8">
        <v>1</v>
      </c>
      <c r="G8">
        <v>24859158</v>
      </c>
      <c r="H8">
        <v>2</v>
      </c>
      <c r="I8" t="s">
        <v>270</v>
      </c>
      <c r="J8" t="s">
        <v>271</v>
      </c>
      <c r="K8" t="s">
        <v>272</v>
      </c>
      <c r="L8">
        <v>1367</v>
      </c>
      <c r="N8">
        <v>1011</v>
      </c>
      <c r="O8" t="s">
        <v>269</v>
      </c>
      <c r="P8" t="s">
        <v>269</v>
      </c>
      <c r="Q8">
        <v>1</v>
      </c>
      <c r="W8">
        <v>0</v>
      </c>
      <c r="X8">
        <v>-48163219</v>
      </c>
      <c r="Y8">
        <v>75</v>
      </c>
      <c r="AA8">
        <v>0</v>
      </c>
      <c r="AB8">
        <v>6.48</v>
      </c>
      <c r="AC8">
        <v>1.05</v>
      </c>
      <c r="AD8">
        <v>0</v>
      </c>
      <c r="AE8">
        <v>0</v>
      </c>
      <c r="AF8">
        <v>3.16</v>
      </c>
      <c r="AG8">
        <v>0.04</v>
      </c>
      <c r="AH8">
        <v>0</v>
      </c>
      <c r="AI8">
        <v>1</v>
      </c>
      <c r="AJ8">
        <v>1.96</v>
      </c>
      <c r="AK8">
        <v>25.13</v>
      </c>
      <c r="AL8">
        <v>1</v>
      </c>
      <c r="AN8">
        <v>0</v>
      </c>
      <c r="AO8">
        <v>1</v>
      </c>
      <c r="AP8">
        <v>0</v>
      </c>
      <c r="AQ8">
        <v>0</v>
      </c>
      <c r="AR8">
        <v>0</v>
      </c>
      <c r="AS8" t="s">
        <v>3</v>
      </c>
      <c r="AT8">
        <v>75</v>
      </c>
      <c r="AU8" t="s">
        <v>3</v>
      </c>
      <c r="AV8">
        <v>0</v>
      </c>
      <c r="AW8">
        <v>2</v>
      </c>
      <c r="AX8">
        <v>45748214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Y8*Source!I31</f>
        <v>9</v>
      </c>
      <c r="CY8">
        <f t="shared" si="2"/>
        <v>6.48</v>
      </c>
      <c r="CZ8">
        <f t="shared" si="3"/>
        <v>3.16</v>
      </c>
      <c r="DA8">
        <f t="shared" si="4"/>
        <v>1.96</v>
      </c>
      <c r="DB8">
        <f t="shared" si="0"/>
        <v>237</v>
      </c>
      <c r="DC8">
        <f t="shared" si="1"/>
        <v>3</v>
      </c>
    </row>
    <row r="9" spans="1:107" x14ac:dyDescent="0.2">
      <c r="A9">
        <f>ROW(Source!A31)</f>
        <v>31</v>
      </c>
      <c r="B9">
        <v>45747932</v>
      </c>
      <c r="C9">
        <v>45748189</v>
      </c>
      <c r="D9">
        <v>24931840</v>
      </c>
      <c r="E9">
        <v>1</v>
      </c>
      <c r="F9">
        <v>1</v>
      </c>
      <c r="G9">
        <v>24859158</v>
      </c>
      <c r="H9">
        <v>2</v>
      </c>
      <c r="I9" t="s">
        <v>273</v>
      </c>
      <c r="J9" t="s">
        <v>274</v>
      </c>
      <c r="K9" t="s">
        <v>275</v>
      </c>
      <c r="L9">
        <v>1367</v>
      </c>
      <c r="N9">
        <v>1011</v>
      </c>
      <c r="O9" t="s">
        <v>269</v>
      </c>
      <c r="P9" t="s">
        <v>269</v>
      </c>
      <c r="Q9">
        <v>1</v>
      </c>
      <c r="W9">
        <v>0</v>
      </c>
      <c r="X9">
        <v>856318566</v>
      </c>
      <c r="Y9">
        <v>1.55</v>
      </c>
      <c r="AA9">
        <v>0</v>
      </c>
      <c r="AB9">
        <v>1574.75</v>
      </c>
      <c r="AC9">
        <v>650.94000000000005</v>
      </c>
      <c r="AD9">
        <v>0</v>
      </c>
      <c r="AE9">
        <v>0</v>
      </c>
      <c r="AF9">
        <v>125.13</v>
      </c>
      <c r="AG9">
        <v>24.74</v>
      </c>
      <c r="AH9">
        <v>0</v>
      </c>
      <c r="AI9">
        <v>1</v>
      </c>
      <c r="AJ9">
        <v>12.02</v>
      </c>
      <c r="AK9">
        <v>25.13</v>
      </c>
      <c r="AL9">
        <v>1</v>
      </c>
      <c r="AN9">
        <v>0</v>
      </c>
      <c r="AO9">
        <v>1</v>
      </c>
      <c r="AP9">
        <v>0</v>
      </c>
      <c r="AQ9">
        <v>0</v>
      </c>
      <c r="AR9">
        <v>0</v>
      </c>
      <c r="AS9" t="s">
        <v>3</v>
      </c>
      <c r="AT9">
        <v>1.55</v>
      </c>
      <c r="AU9" t="s">
        <v>3</v>
      </c>
      <c r="AV9">
        <v>0</v>
      </c>
      <c r="AW9">
        <v>2</v>
      </c>
      <c r="AX9">
        <v>45748215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Y9*Source!I31</f>
        <v>0.186</v>
      </c>
      <c r="CY9">
        <f t="shared" si="2"/>
        <v>1574.75</v>
      </c>
      <c r="CZ9">
        <f t="shared" si="3"/>
        <v>125.13</v>
      </c>
      <c r="DA9">
        <f t="shared" si="4"/>
        <v>12.02</v>
      </c>
      <c r="DB9">
        <f t="shared" si="0"/>
        <v>193.95</v>
      </c>
      <c r="DC9">
        <f t="shared" si="1"/>
        <v>38.35</v>
      </c>
    </row>
    <row r="10" spans="1:107" x14ac:dyDescent="0.2">
      <c r="A10">
        <f>ROW(Source!A31)</f>
        <v>31</v>
      </c>
      <c r="B10">
        <v>45747932</v>
      </c>
      <c r="C10">
        <v>45748189</v>
      </c>
      <c r="D10">
        <v>24859885</v>
      </c>
      <c r="E10">
        <v>24859158</v>
      </c>
      <c r="F10">
        <v>1</v>
      </c>
      <c r="G10">
        <v>24859158</v>
      </c>
      <c r="H10">
        <v>2</v>
      </c>
      <c r="I10" t="s">
        <v>276</v>
      </c>
      <c r="J10" t="s">
        <v>3</v>
      </c>
      <c r="K10" t="s">
        <v>277</v>
      </c>
      <c r="L10">
        <v>1344</v>
      </c>
      <c r="N10">
        <v>1008</v>
      </c>
      <c r="O10" t="s">
        <v>278</v>
      </c>
      <c r="P10" t="s">
        <v>278</v>
      </c>
      <c r="Q10">
        <v>1</v>
      </c>
      <c r="W10">
        <v>0</v>
      </c>
      <c r="X10">
        <v>-1180195794</v>
      </c>
      <c r="Y10">
        <v>3.72</v>
      </c>
      <c r="AA10">
        <v>0</v>
      </c>
      <c r="AB10">
        <v>1.05</v>
      </c>
      <c r="AC10">
        <v>0</v>
      </c>
      <c r="AD10">
        <v>0</v>
      </c>
      <c r="AE10">
        <v>0</v>
      </c>
      <c r="AF10">
        <v>1</v>
      </c>
      <c r="AG10">
        <v>0</v>
      </c>
      <c r="AH10">
        <v>0</v>
      </c>
      <c r="AI10">
        <v>1</v>
      </c>
      <c r="AJ10">
        <v>1</v>
      </c>
      <c r="AK10">
        <v>1</v>
      </c>
      <c r="AL10">
        <v>1</v>
      </c>
      <c r="AN10">
        <v>0</v>
      </c>
      <c r="AO10">
        <v>1</v>
      </c>
      <c r="AP10">
        <v>0</v>
      </c>
      <c r="AQ10">
        <v>0</v>
      </c>
      <c r="AR10">
        <v>0</v>
      </c>
      <c r="AS10" t="s">
        <v>3</v>
      </c>
      <c r="AT10">
        <v>3.72</v>
      </c>
      <c r="AU10" t="s">
        <v>3</v>
      </c>
      <c r="AV10">
        <v>0</v>
      </c>
      <c r="AW10">
        <v>2</v>
      </c>
      <c r="AX10">
        <v>45748216</v>
      </c>
      <c r="AY10">
        <v>1</v>
      </c>
      <c r="AZ10">
        <v>0</v>
      </c>
      <c r="BA10">
        <v>10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Y10*Source!I31</f>
        <v>0.44640000000000002</v>
      </c>
      <c r="CY10">
        <f t="shared" si="2"/>
        <v>1.05</v>
      </c>
      <c r="CZ10">
        <f t="shared" si="3"/>
        <v>1</v>
      </c>
      <c r="DA10">
        <f t="shared" si="4"/>
        <v>1</v>
      </c>
      <c r="DB10">
        <f t="shared" si="0"/>
        <v>3.72</v>
      </c>
      <c r="DC10">
        <f t="shared" si="1"/>
        <v>0</v>
      </c>
    </row>
    <row r="11" spans="1:107" x14ac:dyDescent="0.2">
      <c r="A11">
        <f>ROW(Source!A32)</f>
        <v>32</v>
      </c>
      <c r="B11">
        <v>45748053</v>
      </c>
      <c r="C11">
        <v>45748200</v>
      </c>
      <c r="D11">
        <v>24859885</v>
      </c>
      <c r="E11">
        <v>24859158</v>
      </c>
      <c r="F11">
        <v>1</v>
      </c>
      <c r="G11">
        <v>24859158</v>
      </c>
      <c r="H11">
        <v>2</v>
      </c>
      <c r="I11" t="s">
        <v>276</v>
      </c>
      <c r="J11" t="s">
        <v>3</v>
      </c>
      <c r="K11" t="s">
        <v>277</v>
      </c>
      <c r="L11">
        <v>1344</v>
      </c>
      <c r="N11">
        <v>1008</v>
      </c>
      <c r="O11" t="s">
        <v>278</v>
      </c>
      <c r="P11" t="s">
        <v>278</v>
      </c>
      <c r="Q11">
        <v>1</v>
      </c>
      <c r="W11">
        <v>0</v>
      </c>
      <c r="X11">
        <v>-1180195794</v>
      </c>
      <c r="Y11">
        <v>8.86</v>
      </c>
      <c r="AA11">
        <v>0</v>
      </c>
      <c r="AB11">
        <v>1</v>
      </c>
      <c r="AC11">
        <v>0</v>
      </c>
      <c r="AD11">
        <v>0</v>
      </c>
      <c r="AE11">
        <v>0</v>
      </c>
      <c r="AF11">
        <v>1</v>
      </c>
      <c r="AG11">
        <v>0</v>
      </c>
      <c r="AH11">
        <v>0</v>
      </c>
      <c r="AI11">
        <v>1</v>
      </c>
      <c r="AJ11">
        <v>1</v>
      </c>
      <c r="AK11">
        <v>1</v>
      </c>
      <c r="AL11">
        <v>1</v>
      </c>
      <c r="AN11">
        <v>0</v>
      </c>
      <c r="AO11">
        <v>1</v>
      </c>
      <c r="AP11">
        <v>0</v>
      </c>
      <c r="AQ11">
        <v>0</v>
      </c>
      <c r="AR11">
        <v>0</v>
      </c>
      <c r="AS11" t="s">
        <v>3</v>
      </c>
      <c r="AT11">
        <v>8.86</v>
      </c>
      <c r="AU11" t="s">
        <v>3</v>
      </c>
      <c r="AV11">
        <v>0</v>
      </c>
      <c r="AW11">
        <v>2</v>
      </c>
      <c r="AX11">
        <v>45748217</v>
      </c>
      <c r="AY11">
        <v>1</v>
      </c>
      <c r="AZ11">
        <v>0</v>
      </c>
      <c r="BA11">
        <v>11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Y11*Source!I32</f>
        <v>242.40959999999998</v>
      </c>
      <c r="CY11">
        <f t="shared" si="2"/>
        <v>1</v>
      </c>
      <c r="CZ11">
        <f t="shared" si="3"/>
        <v>1</v>
      </c>
      <c r="DA11">
        <f t="shared" si="4"/>
        <v>1</v>
      </c>
      <c r="DB11">
        <f t="shared" si="0"/>
        <v>8.86</v>
      </c>
      <c r="DC11">
        <f t="shared" si="1"/>
        <v>0</v>
      </c>
    </row>
    <row r="12" spans="1:107" x14ac:dyDescent="0.2">
      <c r="A12">
        <f>ROW(Source!A33)</f>
        <v>33</v>
      </c>
      <c r="B12">
        <v>45747932</v>
      </c>
      <c r="C12">
        <v>45748200</v>
      </c>
      <c r="D12">
        <v>24859885</v>
      </c>
      <c r="E12">
        <v>24859158</v>
      </c>
      <c r="F12">
        <v>1</v>
      </c>
      <c r="G12">
        <v>24859158</v>
      </c>
      <c r="H12">
        <v>2</v>
      </c>
      <c r="I12" t="s">
        <v>276</v>
      </c>
      <c r="J12" t="s">
        <v>3</v>
      </c>
      <c r="K12" t="s">
        <v>277</v>
      </c>
      <c r="L12">
        <v>1344</v>
      </c>
      <c r="N12">
        <v>1008</v>
      </c>
      <c r="O12" t="s">
        <v>278</v>
      </c>
      <c r="P12" t="s">
        <v>278</v>
      </c>
      <c r="Q12">
        <v>1</v>
      </c>
      <c r="W12">
        <v>0</v>
      </c>
      <c r="X12">
        <v>-1180195794</v>
      </c>
      <c r="Y12">
        <v>8.86</v>
      </c>
      <c r="AA12">
        <v>0</v>
      </c>
      <c r="AB12">
        <v>1.05</v>
      </c>
      <c r="AC12">
        <v>0</v>
      </c>
      <c r="AD12">
        <v>0</v>
      </c>
      <c r="AE12">
        <v>0</v>
      </c>
      <c r="AF12">
        <v>1</v>
      </c>
      <c r="AG12">
        <v>0</v>
      </c>
      <c r="AH12">
        <v>0</v>
      </c>
      <c r="AI12">
        <v>1</v>
      </c>
      <c r="AJ12">
        <v>1</v>
      </c>
      <c r="AK12">
        <v>1</v>
      </c>
      <c r="AL12">
        <v>1</v>
      </c>
      <c r="AN12">
        <v>0</v>
      </c>
      <c r="AO12">
        <v>1</v>
      </c>
      <c r="AP12">
        <v>0</v>
      </c>
      <c r="AQ12">
        <v>0</v>
      </c>
      <c r="AR12">
        <v>0</v>
      </c>
      <c r="AS12" t="s">
        <v>3</v>
      </c>
      <c r="AT12">
        <v>8.86</v>
      </c>
      <c r="AU12" t="s">
        <v>3</v>
      </c>
      <c r="AV12">
        <v>0</v>
      </c>
      <c r="AW12">
        <v>2</v>
      </c>
      <c r="AX12">
        <v>45748217</v>
      </c>
      <c r="AY12">
        <v>1</v>
      </c>
      <c r="AZ12">
        <v>0</v>
      </c>
      <c r="BA12">
        <v>12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Y12*Source!I33</f>
        <v>242.40959999999998</v>
      </c>
      <c r="CY12">
        <f t="shared" si="2"/>
        <v>1.05</v>
      </c>
      <c r="CZ12">
        <f t="shared" si="3"/>
        <v>1</v>
      </c>
      <c r="DA12">
        <f t="shared" si="4"/>
        <v>1</v>
      </c>
      <c r="DB12">
        <f t="shared" si="0"/>
        <v>8.86</v>
      </c>
      <c r="DC12">
        <f t="shared" si="1"/>
        <v>0</v>
      </c>
    </row>
    <row r="13" spans="1:107" x14ac:dyDescent="0.2">
      <c r="A13">
        <f>ROW(Source!A34)</f>
        <v>34</v>
      </c>
      <c r="B13">
        <v>45748053</v>
      </c>
      <c r="C13">
        <v>45748203</v>
      </c>
      <c r="D13">
        <v>24859163</v>
      </c>
      <c r="E13">
        <v>24859158</v>
      </c>
      <c r="F13">
        <v>1</v>
      </c>
      <c r="G13">
        <v>24859158</v>
      </c>
      <c r="H13">
        <v>1</v>
      </c>
      <c r="I13" t="s">
        <v>263</v>
      </c>
      <c r="J13" t="s">
        <v>3</v>
      </c>
      <c r="K13" t="s">
        <v>264</v>
      </c>
      <c r="L13">
        <v>1191</v>
      </c>
      <c r="N13">
        <v>1013</v>
      </c>
      <c r="O13" t="s">
        <v>265</v>
      </c>
      <c r="P13" t="s">
        <v>265</v>
      </c>
      <c r="Q13">
        <v>1</v>
      </c>
      <c r="W13">
        <v>0</v>
      </c>
      <c r="X13">
        <v>476480486</v>
      </c>
      <c r="Y13">
        <v>1.02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1</v>
      </c>
      <c r="AJ13">
        <v>1</v>
      </c>
      <c r="AK13">
        <v>1</v>
      </c>
      <c r="AL13">
        <v>1</v>
      </c>
      <c r="AN13">
        <v>0</v>
      </c>
      <c r="AO13">
        <v>1</v>
      </c>
      <c r="AP13">
        <v>0</v>
      </c>
      <c r="AQ13">
        <v>0</v>
      </c>
      <c r="AR13">
        <v>0</v>
      </c>
      <c r="AS13" t="s">
        <v>3</v>
      </c>
      <c r="AT13">
        <v>1.02</v>
      </c>
      <c r="AU13" t="s">
        <v>3</v>
      </c>
      <c r="AV13">
        <v>1</v>
      </c>
      <c r="AW13">
        <v>2</v>
      </c>
      <c r="AX13">
        <v>45748218</v>
      </c>
      <c r="AY13">
        <v>1</v>
      </c>
      <c r="AZ13">
        <v>0</v>
      </c>
      <c r="BA13">
        <v>13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Y13*Source!I34</f>
        <v>1.4687999999999999</v>
      </c>
      <c r="CY13">
        <f>AD13</f>
        <v>0</v>
      </c>
      <c r="CZ13">
        <f>AH13</f>
        <v>0</v>
      </c>
      <c r="DA13">
        <f>AL13</f>
        <v>1</v>
      </c>
      <c r="DB13">
        <f t="shared" si="0"/>
        <v>0</v>
      </c>
      <c r="DC13">
        <f t="shared" si="1"/>
        <v>0</v>
      </c>
    </row>
    <row r="14" spans="1:107" x14ac:dyDescent="0.2">
      <c r="A14">
        <f>ROW(Source!A35)</f>
        <v>35</v>
      </c>
      <c r="B14">
        <v>45747932</v>
      </c>
      <c r="C14">
        <v>45748203</v>
      </c>
      <c r="D14">
        <v>24859163</v>
      </c>
      <c r="E14">
        <v>24859158</v>
      </c>
      <c r="F14">
        <v>1</v>
      </c>
      <c r="G14">
        <v>24859158</v>
      </c>
      <c r="H14">
        <v>1</v>
      </c>
      <c r="I14" t="s">
        <v>263</v>
      </c>
      <c r="J14" t="s">
        <v>3</v>
      </c>
      <c r="K14" t="s">
        <v>264</v>
      </c>
      <c r="L14">
        <v>1191</v>
      </c>
      <c r="N14">
        <v>1013</v>
      </c>
      <c r="O14" t="s">
        <v>265</v>
      </c>
      <c r="P14" t="s">
        <v>265</v>
      </c>
      <c r="Q14">
        <v>1</v>
      </c>
      <c r="W14">
        <v>0</v>
      </c>
      <c r="X14">
        <v>476480486</v>
      </c>
      <c r="Y14">
        <v>1.02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1</v>
      </c>
      <c r="AJ14">
        <v>1</v>
      </c>
      <c r="AK14">
        <v>1</v>
      </c>
      <c r="AL14">
        <v>1</v>
      </c>
      <c r="AN14">
        <v>0</v>
      </c>
      <c r="AO14">
        <v>1</v>
      </c>
      <c r="AP14">
        <v>0</v>
      </c>
      <c r="AQ14">
        <v>0</v>
      </c>
      <c r="AR14">
        <v>0</v>
      </c>
      <c r="AS14" t="s">
        <v>3</v>
      </c>
      <c r="AT14">
        <v>1.02</v>
      </c>
      <c r="AU14" t="s">
        <v>3</v>
      </c>
      <c r="AV14">
        <v>1</v>
      </c>
      <c r="AW14">
        <v>2</v>
      </c>
      <c r="AX14">
        <v>45748218</v>
      </c>
      <c r="AY14">
        <v>1</v>
      </c>
      <c r="AZ14">
        <v>0</v>
      </c>
      <c r="BA14">
        <v>14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Y14*Source!I35</f>
        <v>1.4687999999999999</v>
      </c>
      <c r="CY14">
        <f>AD14</f>
        <v>0</v>
      </c>
      <c r="CZ14">
        <f>AH14</f>
        <v>0</v>
      </c>
      <c r="DA14">
        <f>AL14</f>
        <v>1</v>
      </c>
      <c r="DB14">
        <f t="shared" si="0"/>
        <v>0</v>
      </c>
      <c r="DC14">
        <f t="shared" si="1"/>
        <v>0</v>
      </c>
    </row>
    <row r="15" spans="1:107" x14ac:dyDescent="0.2">
      <c r="A15">
        <f>ROW(Source!A36)</f>
        <v>36</v>
      </c>
      <c r="B15">
        <v>45748053</v>
      </c>
      <c r="C15">
        <v>45748206</v>
      </c>
      <c r="D15">
        <v>26556675</v>
      </c>
      <c r="E15">
        <v>1</v>
      </c>
      <c r="F15">
        <v>1</v>
      </c>
      <c r="G15">
        <v>24859158</v>
      </c>
      <c r="H15">
        <v>2</v>
      </c>
      <c r="I15" t="s">
        <v>279</v>
      </c>
      <c r="J15" t="s">
        <v>280</v>
      </c>
      <c r="K15" t="s">
        <v>281</v>
      </c>
      <c r="L15">
        <v>1367</v>
      </c>
      <c r="N15">
        <v>1011</v>
      </c>
      <c r="O15" t="s">
        <v>269</v>
      </c>
      <c r="P15" t="s">
        <v>269</v>
      </c>
      <c r="Q15">
        <v>1</v>
      </c>
      <c r="W15">
        <v>0</v>
      </c>
      <c r="X15">
        <v>-1191656485</v>
      </c>
      <c r="Y15">
        <v>1</v>
      </c>
      <c r="AA15">
        <v>0</v>
      </c>
      <c r="AB15">
        <v>193.32</v>
      </c>
      <c r="AC15">
        <v>18.11</v>
      </c>
      <c r="AD15">
        <v>0</v>
      </c>
      <c r="AE15">
        <v>0</v>
      </c>
      <c r="AF15">
        <v>193.32</v>
      </c>
      <c r="AG15">
        <v>18.11</v>
      </c>
      <c r="AH15">
        <v>0</v>
      </c>
      <c r="AI15">
        <v>1</v>
      </c>
      <c r="AJ15">
        <v>1</v>
      </c>
      <c r="AK15">
        <v>1</v>
      </c>
      <c r="AL15">
        <v>1</v>
      </c>
      <c r="AN15">
        <v>0</v>
      </c>
      <c r="AO15">
        <v>1</v>
      </c>
      <c r="AP15">
        <v>0</v>
      </c>
      <c r="AQ15">
        <v>0</v>
      </c>
      <c r="AR15">
        <v>0</v>
      </c>
      <c r="AS15" t="s">
        <v>3</v>
      </c>
      <c r="AT15">
        <v>1</v>
      </c>
      <c r="AU15" t="s">
        <v>3</v>
      </c>
      <c r="AV15">
        <v>0</v>
      </c>
      <c r="AW15">
        <v>2</v>
      </c>
      <c r="AX15">
        <v>45748224</v>
      </c>
      <c r="AY15">
        <v>1</v>
      </c>
      <c r="AZ15">
        <v>0</v>
      </c>
      <c r="BA15">
        <v>15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Y15*Source!I36</f>
        <v>28.8</v>
      </c>
      <c r="CY15">
        <f>AB15</f>
        <v>193.32</v>
      </c>
      <c r="CZ15">
        <f>AF15</f>
        <v>193.32</v>
      </c>
      <c r="DA15">
        <f>AJ15</f>
        <v>1</v>
      </c>
      <c r="DB15">
        <f t="shared" si="0"/>
        <v>193.32</v>
      </c>
      <c r="DC15">
        <f t="shared" si="1"/>
        <v>18.11</v>
      </c>
    </row>
    <row r="16" spans="1:107" x14ac:dyDescent="0.2">
      <c r="A16">
        <f>ROW(Source!A37)</f>
        <v>37</v>
      </c>
      <c r="B16">
        <v>45747932</v>
      </c>
      <c r="C16">
        <v>45748206</v>
      </c>
      <c r="D16">
        <v>26556675</v>
      </c>
      <c r="E16">
        <v>1</v>
      </c>
      <c r="F16">
        <v>1</v>
      </c>
      <c r="G16">
        <v>24859158</v>
      </c>
      <c r="H16">
        <v>2</v>
      </c>
      <c r="I16" t="s">
        <v>279</v>
      </c>
      <c r="J16" t="s">
        <v>280</v>
      </c>
      <c r="K16" t="s">
        <v>281</v>
      </c>
      <c r="L16">
        <v>1367</v>
      </c>
      <c r="N16">
        <v>1011</v>
      </c>
      <c r="O16" t="s">
        <v>269</v>
      </c>
      <c r="P16" t="s">
        <v>269</v>
      </c>
      <c r="Q16">
        <v>1</v>
      </c>
      <c r="W16">
        <v>0</v>
      </c>
      <c r="X16">
        <v>-1191656485</v>
      </c>
      <c r="Y16">
        <v>1</v>
      </c>
      <c r="AA16">
        <v>0</v>
      </c>
      <c r="AB16">
        <v>1606.49</v>
      </c>
      <c r="AC16">
        <v>455.1</v>
      </c>
      <c r="AD16">
        <v>0</v>
      </c>
      <c r="AE16">
        <v>0</v>
      </c>
      <c r="AF16">
        <v>193.32</v>
      </c>
      <c r="AG16">
        <v>18.11</v>
      </c>
      <c r="AH16">
        <v>0</v>
      </c>
      <c r="AI16">
        <v>1</v>
      </c>
      <c r="AJ16">
        <v>8.31</v>
      </c>
      <c r="AK16">
        <v>25.13</v>
      </c>
      <c r="AL16">
        <v>1</v>
      </c>
      <c r="AN16">
        <v>0</v>
      </c>
      <c r="AO16">
        <v>1</v>
      </c>
      <c r="AP16">
        <v>0</v>
      </c>
      <c r="AQ16">
        <v>0</v>
      </c>
      <c r="AR16">
        <v>0</v>
      </c>
      <c r="AS16" t="s">
        <v>3</v>
      </c>
      <c r="AT16">
        <v>1</v>
      </c>
      <c r="AU16" t="s">
        <v>3</v>
      </c>
      <c r="AV16">
        <v>0</v>
      </c>
      <c r="AW16">
        <v>2</v>
      </c>
      <c r="AX16">
        <v>45748224</v>
      </c>
      <c r="AY16">
        <v>1</v>
      </c>
      <c r="AZ16">
        <v>0</v>
      </c>
      <c r="BA16">
        <v>16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Y16*Source!I37</f>
        <v>28.8</v>
      </c>
      <c r="CY16">
        <f>AB16</f>
        <v>1606.49</v>
      </c>
      <c r="CZ16">
        <f>AF16</f>
        <v>193.32</v>
      </c>
      <c r="DA16">
        <f>AJ16</f>
        <v>8.31</v>
      </c>
      <c r="DB16">
        <f t="shared" si="0"/>
        <v>193.32</v>
      </c>
      <c r="DC16">
        <f t="shared" si="1"/>
        <v>18.11</v>
      </c>
    </row>
    <row r="17" spans="1:107" x14ac:dyDescent="0.2">
      <c r="A17">
        <f>ROW(Source!A38)</f>
        <v>38</v>
      </c>
      <c r="B17">
        <v>45748053</v>
      </c>
      <c r="C17">
        <v>45748209</v>
      </c>
      <c r="D17">
        <v>24859885</v>
      </c>
      <c r="E17">
        <v>24859158</v>
      </c>
      <c r="F17">
        <v>1</v>
      </c>
      <c r="G17">
        <v>24859158</v>
      </c>
      <c r="H17">
        <v>2</v>
      </c>
      <c r="I17" t="s">
        <v>276</v>
      </c>
      <c r="J17" t="s">
        <v>3</v>
      </c>
      <c r="K17" t="s">
        <v>277</v>
      </c>
      <c r="L17">
        <v>1344</v>
      </c>
      <c r="N17">
        <v>1008</v>
      </c>
      <c r="O17" t="s">
        <v>278</v>
      </c>
      <c r="P17" t="s">
        <v>278</v>
      </c>
      <c r="Q17">
        <v>1</v>
      </c>
      <c r="W17">
        <v>0</v>
      </c>
      <c r="X17">
        <v>-1180195794</v>
      </c>
      <c r="Y17">
        <v>36.590000000000003</v>
      </c>
      <c r="AA17">
        <v>0</v>
      </c>
      <c r="AB17">
        <v>1</v>
      </c>
      <c r="AC17">
        <v>0</v>
      </c>
      <c r="AD17">
        <v>0</v>
      </c>
      <c r="AE17">
        <v>0</v>
      </c>
      <c r="AF17">
        <v>1</v>
      </c>
      <c r="AG17">
        <v>0</v>
      </c>
      <c r="AH17">
        <v>0</v>
      </c>
      <c r="AI17">
        <v>1</v>
      </c>
      <c r="AJ17">
        <v>1</v>
      </c>
      <c r="AK17">
        <v>1</v>
      </c>
      <c r="AL17">
        <v>1</v>
      </c>
      <c r="AN17">
        <v>0</v>
      </c>
      <c r="AO17">
        <v>1</v>
      </c>
      <c r="AP17">
        <v>1</v>
      </c>
      <c r="AQ17">
        <v>0</v>
      </c>
      <c r="AR17">
        <v>0</v>
      </c>
      <c r="AS17" t="s">
        <v>3</v>
      </c>
      <c r="AT17">
        <v>36.590000000000003</v>
      </c>
      <c r="AU17" t="s">
        <v>3</v>
      </c>
      <c r="AV17">
        <v>0</v>
      </c>
      <c r="AW17">
        <v>2</v>
      </c>
      <c r="AX17">
        <v>45748220</v>
      </c>
      <c r="AY17">
        <v>1</v>
      </c>
      <c r="AZ17">
        <v>0</v>
      </c>
      <c r="BA17">
        <v>17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Y17*Source!I38</f>
        <v>1053.7920000000001</v>
      </c>
      <c r="CY17">
        <f>AB17</f>
        <v>1</v>
      </c>
      <c r="CZ17">
        <f>AF17</f>
        <v>1</v>
      </c>
      <c r="DA17">
        <f>AJ17</f>
        <v>1</v>
      </c>
      <c r="DB17">
        <f t="shared" si="0"/>
        <v>36.590000000000003</v>
      </c>
      <c r="DC17">
        <f t="shared" si="1"/>
        <v>0</v>
      </c>
    </row>
    <row r="18" spans="1:107" x14ac:dyDescent="0.2">
      <c r="A18">
        <f>ROW(Source!A39)</f>
        <v>39</v>
      </c>
      <c r="B18">
        <v>45747932</v>
      </c>
      <c r="C18">
        <v>45748209</v>
      </c>
      <c r="D18">
        <v>24859885</v>
      </c>
      <c r="E18">
        <v>24859158</v>
      </c>
      <c r="F18">
        <v>1</v>
      </c>
      <c r="G18">
        <v>24859158</v>
      </c>
      <c r="H18">
        <v>2</v>
      </c>
      <c r="I18" t="s">
        <v>276</v>
      </c>
      <c r="J18" t="s">
        <v>3</v>
      </c>
      <c r="K18" t="s">
        <v>277</v>
      </c>
      <c r="L18">
        <v>1344</v>
      </c>
      <c r="N18">
        <v>1008</v>
      </c>
      <c r="O18" t="s">
        <v>278</v>
      </c>
      <c r="P18" t="s">
        <v>278</v>
      </c>
      <c r="Q18">
        <v>1</v>
      </c>
      <c r="W18">
        <v>0</v>
      </c>
      <c r="X18">
        <v>-1180195794</v>
      </c>
      <c r="Y18">
        <v>36.590000000000003</v>
      </c>
      <c r="AA18">
        <v>0</v>
      </c>
      <c r="AB18">
        <v>1</v>
      </c>
      <c r="AC18">
        <v>0</v>
      </c>
      <c r="AD18">
        <v>0</v>
      </c>
      <c r="AE18">
        <v>0</v>
      </c>
      <c r="AF18">
        <v>1</v>
      </c>
      <c r="AG18">
        <v>0</v>
      </c>
      <c r="AH18">
        <v>0</v>
      </c>
      <c r="AI18">
        <v>1</v>
      </c>
      <c r="AJ18">
        <v>1</v>
      </c>
      <c r="AK18">
        <v>1</v>
      </c>
      <c r="AL18">
        <v>1</v>
      </c>
      <c r="AN18">
        <v>0</v>
      </c>
      <c r="AO18">
        <v>1</v>
      </c>
      <c r="AP18">
        <v>1</v>
      </c>
      <c r="AQ18">
        <v>0</v>
      </c>
      <c r="AR18">
        <v>0</v>
      </c>
      <c r="AS18" t="s">
        <v>3</v>
      </c>
      <c r="AT18">
        <v>36.590000000000003</v>
      </c>
      <c r="AU18" t="s">
        <v>3</v>
      </c>
      <c r="AV18">
        <v>0</v>
      </c>
      <c r="AW18">
        <v>2</v>
      </c>
      <c r="AX18">
        <v>45748220</v>
      </c>
      <c r="AY18">
        <v>1</v>
      </c>
      <c r="AZ18">
        <v>0</v>
      </c>
      <c r="BA18">
        <v>18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Y18*Source!I39</f>
        <v>1053.7920000000001</v>
      </c>
      <c r="CY18">
        <f>AB18</f>
        <v>1</v>
      </c>
      <c r="CZ18">
        <f>AF18</f>
        <v>1</v>
      </c>
      <c r="DA18">
        <f>AJ18</f>
        <v>1</v>
      </c>
      <c r="DB18">
        <f t="shared" si="0"/>
        <v>36.590000000000003</v>
      </c>
      <c r="DC18">
        <f t="shared" si="1"/>
        <v>0</v>
      </c>
    </row>
    <row r="19" spans="1:107" x14ac:dyDescent="0.2">
      <c r="A19">
        <f>ROW(Source!A40)</f>
        <v>40</v>
      </c>
      <c r="B19">
        <v>45748053</v>
      </c>
      <c r="C19">
        <v>45748246</v>
      </c>
      <c r="D19">
        <v>24859163</v>
      </c>
      <c r="E19">
        <v>24859158</v>
      </c>
      <c r="F19">
        <v>1</v>
      </c>
      <c r="G19">
        <v>24859158</v>
      </c>
      <c r="H19">
        <v>1</v>
      </c>
      <c r="I19" t="s">
        <v>263</v>
      </c>
      <c r="J19" t="s">
        <v>3</v>
      </c>
      <c r="K19" t="s">
        <v>264</v>
      </c>
      <c r="L19">
        <v>1191</v>
      </c>
      <c r="N19">
        <v>1013</v>
      </c>
      <c r="O19" t="s">
        <v>265</v>
      </c>
      <c r="P19" t="s">
        <v>265</v>
      </c>
      <c r="Q19">
        <v>1</v>
      </c>
      <c r="W19">
        <v>0</v>
      </c>
      <c r="X19">
        <v>476480486</v>
      </c>
      <c r="Y19">
        <v>8.9600000000000009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1</v>
      </c>
      <c r="AJ19">
        <v>1</v>
      </c>
      <c r="AK19">
        <v>1</v>
      </c>
      <c r="AL19">
        <v>1</v>
      </c>
      <c r="AN19">
        <v>0</v>
      </c>
      <c r="AO19">
        <v>1</v>
      </c>
      <c r="AP19">
        <v>0</v>
      </c>
      <c r="AQ19">
        <v>0</v>
      </c>
      <c r="AR19">
        <v>0</v>
      </c>
      <c r="AS19" t="s">
        <v>3</v>
      </c>
      <c r="AT19">
        <v>8.9600000000000009</v>
      </c>
      <c r="AU19" t="s">
        <v>3</v>
      </c>
      <c r="AV19">
        <v>1</v>
      </c>
      <c r="AW19">
        <v>2</v>
      </c>
      <c r="AX19">
        <v>45748251</v>
      </c>
      <c r="AY19">
        <v>1</v>
      </c>
      <c r="AZ19">
        <v>0</v>
      </c>
      <c r="BA19">
        <v>19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Y19*Source!I40</f>
        <v>10.752000000000001</v>
      </c>
      <c r="CY19">
        <f>AD19</f>
        <v>0</v>
      </c>
      <c r="CZ19">
        <f>AH19</f>
        <v>0</v>
      </c>
      <c r="DA19">
        <f>AL19</f>
        <v>1</v>
      </c>
      <c r="DB19">
        <f t="shared" si="0"/>
        <v>0</v>
      </c>
      <c r="DC19">
        <f t="shared" si="1"/>
        <v>0</v>
      </c>
    </row>
    <row r="20" spans="1:107" x14ac:dyDescent="0.2">
      <c r="A20">
        <f>ROW(Source!A40)</f>
        <v>40</v>
      </c>
      <c r="B20">
        <v>45748053</v>
      </c>
      <c r="C20">
        <v>45748246</v>
      </c>
      <c r="D20">
        <v>24931797</v>
      </c>
      <c r="E20">
        <v>1</v>
      </c>
      <c r="F20">
        <v>1</v>
      </c>
      <c r="G20">
        <v>24859158</v>
      </c>
      <c r="H20">
        <v>2</v>
      </c>
      <c r="I20" t="s">
        <v>282</v>
      </c>
      <c r="J20" t="s">
        <v>283</v>
      </c>
      <c r="K20" t="s">
        <v>284</v>
      </c>
      <c r="L20">
        <v>1367</v>
      </c>
      <c r="N20">
        <v>1011</v>
      </c>
      <c r="O20" t="s">
        <v>269</v>
      </c>
      <c r="P20" t="s">
        <v>269</v>
      </c>
      <c r="Q20">
        <v>1</v>
      </c>
      <c r="W20">
        <v>0</v>
      </c>
      <c r="X20">
        <v>-1882480599</v>
      </c>
      <c r="Y20">
        <v>0.71</v>
      </c>
      <c r="AA20">
        <v>0</v>
      </c>
      <c r="AB20">
        <v>169.44</v>
      </c>
      <c r="AC20">
        <v>15.02</v>
      </c>
      <c r="AD20">
        <v>0</v>
      </c>
      <c r="AE20">
        <v>0</v>
      </c>
      <c r="AF20">
        <v>169.44</v>
      </c>
      <c r="AG20">
        <v>15.02</v>
      </c>
      <c r="AH20">
        <v>0</v>
      </c>
      <c r="AI20">
        <v>1</v>
      </c>
      <c r="AJ20">
        <v>1</v>
      </c>
      <c r="AK20">
        <v>1</v>
      </c>
      <c r="AL20">
        <v>1</v>
      </c>
      <c r="AN20">
        <v>0</v>
      </c>
      <c r="AO20">
        <v>1</v>
      </c>
      <c r="AP20">
        <v>0</v>
      </c>
      <c r="AQ20">
        <v>0</v>
      </c>
      <c r="AR20">
        <v>0</v>
      </c>
      <c r="AS20" t="s">
        <v>3</v>
      </c>
      <c r="AT20">
        <v>0.71</v>
      </c>
      <c r="AU20" t="s">
        <v>3</v>
      </c>
      <c r="AV20">
        <v>0</v>
      </c>
      <c r="AW20">
        <v>2</v>
      </c>
      <c r="AX20">
        <v>45748252</v>
      </c>
      <c r="AY20">
        <v>1</v>
      </c>
      <c r="AZ20">
        <v>0</v>
      </c>
      <c r="BA20">
        <v>20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Y20*Source!I40</f>
        <v>0.85199999999999998</v>
      </c>
      <c r="CY20">
        <f>AB20</f>
        <v>169.44</v>
      </c>
      <c r="CZ20">
        <f>AF20</f>
        <v>169.44</v>
      </c>
      <c r="DA20">
        <f>AJ20</f>
        <v>1</v>
      </c>
      <c r="DB20">
        <f t="shared" si="0"/>
        <v>120.3</v>
      </c>
      <c r="DC20">
        <f t="shared" si="1"/>
        <v>10.66</v>
      </c>
    </row>
    <row r="21" spans="1:107" x14ac:dyDescent="0.2">
      <c r="A21">
        <f>ROW(Source!A40)</f>
        <v>40</v>
      </c>
      <c r="B21">
        <v>45748053</v>
      </c>
      <c r="C21">
        <v>45748246</v>
      </c>
      <c r="D21">
        <v>24907428</v>
      </c>
      <c r="E21">
        <v>1</v>
      </c>
      <c r="F21">
        <v>1</v>
      </c>
      <c r="G21">
        <v>24859158</v>
      </c>
      <c r="H21">
        <v>3</v>
      </c>
      <c r="I21" t="s">
        <v>285</v>
      </c>
      <c r="J21" t="s">
        <v>286</v>
      </c>
      <c r="K21" t="s">
        <v>287</v>
      </c>
      <c r="L21">
        <v>1348</v>
      </c>
      <c r="N21">
        <v>1009</v>
      </c>
      <c r="O21" t="s">
        <v>44</v>
      </c>
      <c r="P21" t="s">
        <v>44</v>
      </c>
      <c r="Q21">
        <v>1000</v>
      </c>
      <c r="W21">
        <v>0</v>
      </c>
      <c r="X21">
        <v>435343267</v>
      </c>
      <c r="Y21">
        <v>0.06</v>
      </c>
      <c r="AA21">
        <v>3501.78</v>
      </c>
      <c r="AB21">
        <v>0</v>
      </c>
      <c r="AC21">
        <v>0</v>
      </c>
      <c r="AD21">
        <v>0</v>
      </c>
      <c r="AE21">
        <v>3501.78</v>
      </c>
      <c r="AF21">
        <v>0</v>
      </c>
      <c r="AG21">
        <v>0</v>
      </c>
      <c r="AH21">
        <v>0</v>
      </c>
      <c r="AI21">
        <v>1</v>
      </c>
      <c r="AJ21">
        <v>1</v>
      </c>
      <c r="AK21">
        <v>1</v>
      </c>
      <c r="AL21">
        <v>1</v>
      </c>
      <c r="AN21">
        <v>0</v>
      </c>
      <c r="AO21">
        <v>1</v>
      </c>
      <c r="AP21">
        <v>0</v>
      </c>
      <c r="AQ21">
        <v>0</v>
      </c>
      <c r="AR21">
        <v>0</v>
      </c>
      <c r="AS21" t="s">
        <v>3</v>
      </c>
      <c r="AT21">
        <v>0.06</v>
      </c>
      <c r="AU21" t="s">
        <v>3</v>
      </c>
      <c r="AV21">
        <v>0</v>
      </c>
      <c r="AW21">
        <v>2</v>
      </c>
      <c r="AX21">
        <v>45748253</v>
      </c>
      <c r="AY21">
        <v>1</v>
      </c>
      <c r="AZ21">
        <v>0</v>
      </c>
      <c r="BA21">
        <v>21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Y21*Source!I40</f>
        <v>7.1999999999999995E-2</v>
      </c>
      <c r="CY21">
        <f>AA21</f>
        <v>3501.78</v>
      </c>
      <c r="CZ21">
        <f>AE21</f>
        <v>3501.78</v>
      </c>
      <c r="DA21">
        <f>AI21</f>
        <v>1</v>
      </c>
      <c r="DB21">
        <f t="shared" si="0"/>
        <v>210.11</v>
      </c>
      <c r="DC21">
        <f t="shared" si="1"/>
        <v>0</v>
      </c>
    </row>
    <row r="22" spans="1:107" x14ac:dyDescent="0.2">
      <c r="A22">
        <f>ROW(Source!A40)</f>
        <v>40</v>
      </c>
      <c r="B22">
        <v>45748053</v>
      </c>
      <c r="C22">
        <v>45748246</v>
      </c>
      <c r="D22">
        <v>24926176</v>
      </c>
      <c r="E22">
        <v>1</v>
      </c>
      <c r="F22">
        <v>1</v>
      </c>
      <c r="G22">
        <v>24859158</v>
      </c>
      <c r="H22">
        <v>3</v>
      </c>
      <c r="I22" t="s">
        <v>62</v>
      </c>
      <c r="J22" t="s">
        <v>64</v>
      </c>
      <c r="K22" t="s">
        <v>63</v>
      </c>
      <c r="L22">
        <v>1348</v>
      </c>
      <c r="N22">
        <v>1009</v>
      </c>
      <c r="O22" t="s">
        <v>44</v>
      </c>
      <c r="P22" t="s">
        <v>44</v>
      </c>
      <c r="Q22">
        <v>1000</v>
      </c>
      <c r="W22">
        <v>0</v>
      </c>
      <c r="X22">
        <v>-2137020924</v>
      </c>
      <c r="Y22">
        <v>11.89</v>
      </c>
      <c r="AA22">
        <v>305.75</v>
      </c>
      <c r="AB22">
        <v>0</v>
      </c>
      <c r="AC22">
        <v>0</v>
      </c>
      <c r="AD22">
        <v>0</v>
      </c>
      <c r="AE22">
        <v>305.75</v>
      </c>
      <c r="AF22">
        <v>0</v>
      </c>
      <c r="AG22">
        <v>0</v>
      </c>
      <c r="AH22">
        <v>0</v>
      </c>
      <c r="AI22">
        <v>1</v>
      </c>
      <c r="AJ22">
        <v>1</v>
      </c>
      <c r="AK22">
        <v>1</v>
      </c>
      <c r="AL22">
        <v>1</v>
      </c>
      <c r="AN22">
        <v>0</v>
      </c>
      <c r="AO22">
        <v>0</v>
      </c>
      <c r="AP22">
        <v>0</v>
      </c>
      <c r="AQ22">
        <v>0</v>
      </c>
      <c r="AR22">
        <v>0</v>
      </c>
      <c r="AS22" t="s">
        <v>3</v>
      </c>
      <c r="AT22">
        <v>11.89</v>
      </c>
      <c r="AU22" t="s">
        <v>3</v>
      </c>
      <c r="AV22">
        <v>0</v>
      </c>
      <c r="AW22">
        <v>1</v>
      </c>
      <c r="AX22">
        <v>-1</v>
      </c>
      <c r="AY22">
        <v>0</v>
      </c>
      <c r="AZ22">
        <v>0</v>
      </c>
      <c r="BA22" t="s">
        <v>3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Y22*Source!I40</f>
        <v>14.268000000000001</v>
      </c>
      <c r="CY22">
        <f>AA22</f>
        <v>305.75</v>
      </c>
      <c r="CZ22">
        <f>AE22</f>
        <v>305.75</v>
      </c>
      <c r="DA22">
        <f>AI22</f>
        <v>1</v>
      </c>
      <c r="DB22">
        <f t="shared" si="0"/>
        <v>3635.37</v>
      </c>
      <c r="DC22">
        <f t="shared" si="1"/>
        <v>0</v>
      </c>
    </row>
    <row r="23" spans="1:107" x14ac:dyDescent="0.2">
      <c r="A23">
        <f>ROW(Source!A41)</f>
        <v>41</v>
      </c>
      <c r="B23">
        <v>45747932</v>
      </c>
      <c r="C23">
        <v>45748246</v>
      </c>
      <c r="D23">
        <v>24859163</v>
      </c>
      <c r="E23">
        <v>24859158</v>
      </c>
      <c r="F23">
        <v>1</v>
      </c>
      <c r="G23">
        <v>24859158</v>
      </c>
      <c r="H23">
        <v>1</v>
      </c>
      <c r="I23" t="s">
        <v>263</v>
      </c>
      <c r="J23" t="s">
        <v>3</v>
      </c>
      <c r="K23" t="s">
        <v>264</v>
      </c>
      <c r="L23">
        <v>1191</v>
      </c>
      <c r="N23">
        <v>1013</v>
      </c>
      <c r="O23" t="s">
        <v>265</v>
      </c>
      <c r="P23" t="s">
        <v>265</v>
      </c>
      <c r="Q23">
        <v>1</v>
      </c>
      <c r="W23">
        <v>0</v>
      </c>
      <c r="X23">
        <v>476480486</v>
      </c>
      <c r="Y23">
        <v>8.9600000000000009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1</v>
      </c>
      <c r="AJ23">
        <v>1</v>
      </c>
      <c r="AK23">
        <v>1</v>
      </c>
      <c r="AL23">
        <v>1</v>
      </c>
      <c r="AN23">
        <v>0</v>
      </c>
      <c r="AO23">
        <v>1</v>
      </c>
      <c r="AP23">
        <v>0</v>
      </c>
      <c r="AQ23">
        <v>0</v>
      </c>
      <c r="AR23">
        <v>0</v>
      </c>
      <c r="AS23" t="s">
        <v>3</v>
      </c>
      <c r="AT23">
        <v>8.9600000000000009</v>
      </c>
      <c r="AU23" t="s">
        <v>3</v>
      </c>
      <c r="AV23">
        <v>1</v>
      </c>
      <c r="AW23">
        <v>2</v>
      </c>
      <c r="AX23">
        <v>45748251</v>
      </c>
      <c r="AY23">
        <v>1</v>
      </c>
      <c r="AZ23">
        <v>0</v>
      </c>
      <c r="BA23">
        <v>23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Y23*Source!I41</f>
        <v>10.752000000000001</v>
      </c>
      <c r="CY23">
        <f>AD23</f>
        <v>0</v>
      </c>
      <c r="CZ23">
        <f>AH23</f>
        <v>0</v>
      </c>
      <c r="DA23">
        <f>AL23</f>
        <v>1</v>
      </c>
      <c r="DB23">
        <f t="shared" si="0"/>
        <v>0</v>
      </c>
      <c r="DC23">
        <f t="shared" si="1"/>
        <v>0</v>
      </c>
    </row>
    <row r="24" spans="1:107" x14ac:dyDescent="0.2">
      <c r="A24">
        <f>ROW(Source!A41)</f>
        <v>41</v>
      </c>
      <c r="B24">
        <v>45747932</v>
      </c>
      <c r="C24">
        <v>45748246</v>
      </c>
      <c r="D24">
        <v>24931797</v>
      </c>
      <c r="E24">
        <v>1</v>
      </c>
      <c r="F24">
        <v>1</v>
      </c>
      <c r="G24">
        <v>24859158</v>
      </c>
      <c r="H24">
        <v>2</v>
      </c>
      <c r="I24" t="s">
        <v>282</v>
      </c>
      <c r="J24" t="s">
        <v>283</v>
      </c>
      <c r="K24" t="s">
        <v>284</v>
      </c>
      <c r="L24">
        <v>1367</v>
      </c>
      <c r="N24">
        <v>1011</v>
      </c>
      <c r="O24" t="s">
        <v>269</v>
      </c>
      <c r="P24" t="s">
        <v>269</v>
      </c>
      <c r="Q24">
        <v>1</v>
      </c>
      <c r="W24">
        <v>0</v>
      </c>
      <c r="X24">
        <v>-1882480599</v>
      </c>
      <c r="Y24">
        <v>0.71</v>
      </c>
      <c r="AA24">
        <v>0</v>
      </c>
      <c r="AB24">
        <v>1486.64</v>
      </c>
      <c r="AC24">
        <v>395.19</v>
      </c>
      <c r="AD24">
        <v>0</v>
      </c>
      <c r="AE24">
        <v>0</v>
      </c>
      <c r="AF24">
        <v>169.44</v>
      </c>
      <c r="AG24">
        <v>15.02</v>
      </c>
      <c r="AH24">
        <v>0</v>
      </c>
      <c r="AI24">
        <v>1</v>
      </c>
      <c r="AJ24">
        <v>8.3800000000000008</v>
      </c>
      <c r="AK24">
        <v>25.13</v>
      </c>
      <c r="AL24">
        <v>1</v>
      </c>
      <c r="AN24">
        <v>0</v>
      </c>
      <c r="AO24">
        <v>1</v>
      </c>
      <c r="AP24">
        <v>0</v>
      </c>
      <c r="AQ24">
        <v>0</v>
      </c>
      <c r="AR24">
        <v>0</v>
      </c>
      <c r="AS24" t="s">
        <v>3</v>
      </c>
      <c r="AT24">
        <v>0.71</v>
      </c>
      <c r="AU24" t="s">
        <v>3</v>
      </c>
      <c r="AV24">
        <v>0</v>
      </c>
      <c r="AW24">
        <v>2</v>
      </c>
      <c r="AX24">
        <v>45748252</v>
      </c>
      <c r="AY24">
        <v>1</v>
      </c>
      <c r="AZ24">
        <v>0</v>
      </c>
      <c r="BA24">
        <v>24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Y24*Source!I41</f>
        <v>0.85199999999999998</v>
      </c>
      <c r="CY24">
        <f>AB24</f>
        <v>1486.64</v>
      </c>
      <c r="CZ24">
        <f>AF24</f>
        <v>169.44</v>
      </c>
      <c r="DA24">
        <f>AJ24</f>
        <v>8.3800000000000008</v>
      </c>
      <c r="DB24">
        <f t="shared" si="0"/>
        <v>120.3</v>
      </c>
      <c r="DC24">
        <f t="shared" si="1"/>
        <v>10.66</v>
      </c>
    </row>
    <row r="25" spans="1:107" x14ac:dyDescent="0.2">
      <c r="A25">
        <f>ROW(Source!A41)</f>
        <v>41</v>
      </c>
      <c r="B25">
        <v>45747932</v>
      </c>
      <c r="C25">
        <v>45748246</v>
      </c>
      <c r="D25">
        <v>24907428</v>
      </c>
      <c r="E25">
        <v>1</v>
      </c>
      <c r="F25">
        <v>1</v>
      </c>
      <c r="G25">
        <v>24859158</v>
      </c>
      <c r="H25">
        <v>3</v>
      </c>
      <c r="I25" t="s">
        <v>285</v>
      </c>
      <c r="J25" t="s">
        <v>286</v>
      </c>
      <c r="K25" t="s">
        <v>287</v>
      </c>
      <c r="L25">
        <v>1348</v>
      </c>
      <c r="N25">
        <v>1009</v>
      </c>
      <c r="O25" t="s">
        <v>44</v>
      </c>
      <c r="P25" t="s">
        <v>44</v>
      </c>
      <c r="Q25">
        <v>1000</v>
      </c>
      <c r="W25">
        <v>0</v>
      </c>
      <c r="X25">
        <v>435343267</v>
      </c>
      <c r="Y25">
        <v>0.06</v>
      </c>
      <c r="AA25">
        <v>23566.98</v>
      </c>
      <c r="AB25">
        <v>0</v>
      </c>
      <c r="AC25">
        <v>0</v>
      </c>
      <c r="AD25">
        <v>0</v>
      </c>
      <c r="AE25">
        <v>3501.78</v>
      </c>
      <c r="AF25">
        <v>0</v>
      </c>
      <c r="AG25">
        <v>0</v>
      </c>
      <c r="AH25">
        <v>0</v>
      </c>
      <c r="AI25">
        <v>6.73</v>
      </c>
      <c r="AJ25">
        <v>1</v>
      </c>
      <c r="AK25">
        <v>1</v>
      </c>
      <c r="AL25">
        <v>1</v>
      </c>
      <c r="AN25">
        <v>0</v>
      </c>
      <c r="AO25">
        <v>1</v>
      </c>
      <c r="AP25">
        <v>0</v>
      </c>
      <c r="AQ25">
        <v>0</v>
      </c>
      <c r="AR25">
        <v>0</v>
      </c>
      <c r="AS25" t="s">
        <v>3</v>
      </c>
      <c r="AT25">
        <v>0.06</v>
      </c>
      <c r="AU25" t="s">
        <v>3</v>
      </c>
      <c r="AV25">
        <v>0</v>
      </c>
      <c r="AW25">
        <v>2</v>
      </c>
      <c r="AX25">
        <v>45748253</v>
      </c>
      <c r="AY25">
        <v>1</v>
      </c>
      <c r="AZ25">
        <v>0</v>
      </c>
      <c r="BA25">
        <v>25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Y25*Source!I41</f>
        <v>7.1999999999999995E-2</v>
      </c>
      <c r="CY25">
        <f>AA25</f>
        <v>23566.98</v>
      </c>
      <c r="CZ25">
        <f>AE25</f>
        <v>3501.78</v>
      </c>
      <c r="DA25">
        <f>AI25</f>
        <v>6.73</v>
      </c>
      <c r="DB25">
        <f t="shared" si="0"/>
        <v>210.11</v>
      </c>
      <c r="DC25">
        <f t="shared" si="1"/>
        <v>0</v>
      </c>
    </row>
    <row r="26" spans="1:107" x14ac:dyDescent="0.2">
      <c r="A26">
        <f>ROW(Source!A41)</f>
        <v>41</v>
      </c>
      <c r="B26">
        <v>45747932</v>
      </c>
      <c r="C26">
        <v>45748246</v>
      </c>
      <c r="D26">
        <v>24926176</v>
      </c>
      <c r="E26">
        <v>1</v>
      </c>
      <c r="F26">
        <v>1</v>
      </c>
      <c r="G26">
        <v>24859158</v>
      </c>
      <c r="H26">
        <v>3</v>
      </c>
      <c r="I26" t="s">
        <v>62</v>
      </c>
      <c r="J26" t="s">
        <v>64</v>
      </c>
      <c r="K26" t="s">
        <v>63</v>
      </c>
      <c r="L26">
        <v>1348</v>
      </c>
      <c r="N26">
        <v>1009</v>
      </c>
      <c r="O26" t="s">
        <v>44</v>
      </c>
      <c r="P26" t="s">
        <v>44</v>
      </c>
      <c r="Q26">
        <v>1000</v>
      </c>
      <c r="W26">
        <v>0</v>
      </c>
      <c r="X26">
        <v>-2137020924</v>
      </c>
      <c r="Y26">
        <v>11.89</v>
      </c>
      <c r="AA26">
        <v>2672.26</v>
      </c>
      <c r="AB26">
        <v>0</v>
      </c>
      <c r="AC26">
        <v>0</v>
      </c>
      <c r="AD26">
        <v>0</v>
      </c>
      <c r="AE26">
        <v>305.75</v>
      </c>
      <c r="AF26">
        <v>0</v>
      </c>
      <c r="AG26">
        <v>0</v>
      </c>
      <c r="AH26">
        <v>0</v>
      </c>
      <c r="AI26">
        <v>8.74</v>
      </c>
      <c r="AJ26">
        <v>1</v>
      </c>
      <c r="AK26">
        <v>1</v>
      </c>
      <c r="AL26">
        <v>1</v>
      </c>
      <c r="AN26">
        <v>0</v>
      </c>
      <c r="AO26">
        <v>0</v>
      </c>
      <c r="AP26">
        <v>0</v>
      </c>
      <c r="AQ26">
        <v>0</v>
      </c>
      <c r="AR26">
        <v>0</v>
      </c>
      <c r="AS26" t="s">
        <v>3</v>
      </c>
      <c r="AT26">
        <v>11.89</v>
      </c>
      <c r="AU26" t="s">
        <v>3</v>
      </c>
      <c r="AV26">
        <v>0</v>
      </c>
      <c r="AW26">
        <v>1</v>
      </c>
      <c r="AX26">
        <v>-1</v>
      </c>
      <c r="AY26">
        <v>0</v>
      </c>
      <c r="AZ26">
        <v>0</v>
      </c>
      <c r="BA26" t="s">
        <v>3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Y26*Source!I41</f>
        <v>14.268000000000001</v>
      </c>
      <c r="CY26">
        <f>AA26</f>
        <v>2672.26</v>
      </c>
      <c r="CZ26">
        <f>AE26</f>
        <v>305.75</v>
      </c>
      <c r="DA26">
        <f>AI26</f>
        <v>8.74</v>
      </c>
      <c r="DB26">
        <f t="shared" si="0"/>
        <v>3635.37</v>
      </c>
      <c r="DC26">
        <f t="shared" si="1"/>
        <v>0</v>
      </c>
    </row>
    <row r="27" spans="1:107" x14ac:dyDescent="0.2">
      <c r="A27">
        <f>ROW(Source!A44)</f>
        <v>44</v>
      </c>
      <c r="B27">
        <v>45748053</v>
      </c>
      <c r="C27">
        <v>45748225</v>
      </c>
      <c r="D27">
        <v>24859163</v>
      </c>
      <c r="E27">
        <v>24859158</v>
      </c>
      <c r="F27">
        <v>1</v>
      </c>
      <c r="G27">
        <v>24859158</v>
      </c>
      <c r="H27">
        <v>1</v>
      </c>
      <c r="I27" t="s">
        <v>263</v>
      </c>
      <c r="J27" t="s">
        <v>3</v>
      </c>
      <c r="K27" t="s">
        <v>264</v>
      </c>
      <c r="L27">
        <v>1191</v>
      </c>
      <c r="N27">
        <v>1013</v>
      </c>
      <c r="O27" t="s">
        <v>265</v>
      </c>
      <c r="P27" t="s">
        <v>265</v>
      </c>
      <c r="Q27">
        <v>1</v>
      </c>
      <c r="W27">
        <v>0</v>
      </c>
      <c r="X27">
        <v>476480486</v>
      </c>
      <c r="Y27">
        <v>8.9600000000000009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1</v>
      </c>
      <c r="AJ27">
        <v>1</v>
      </c>
      <c r="AK27">
        <v>1</v>
      </c>
      <c r="AL27">
        <v>1</v>
      </c>
      <c r="AN27">
        <v>0</v>
      </c>
      <c r="AO27">
        <v>1</v>
      </c>
      <c r="AP27">
        <v>0</v>
      </c>
      <c r="AQ27">
        <v>0</v>
      </c>
      <c r="AR27">
        <v>0</v>
      </c>
      <c r="AS27" t="s">
        <v>3</v>
      </c>
      <c r="AT27">
        <v>8.9600000000000009</v>
      </c>
      <c r="AU27" t="s">
        <v>3</v>
      </c>
      <c r="AV27">
        <v>1</v>
      </c>
      <c r="AW27">
        <v>2</v>
      </c>
      <c r="AX27">
        <v>45748235</v>
      </c>
      <c r="AY27">
        <v>1</v>
      </c>
      <c r="AZ27">
        <v>0</v>
      </c>
      <c r="BA27">
        <v>27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Y27*Source!I44</f>
        <v>10.752000000000001</v>
      </c>
      <c r="CY27">
        <f>AD27</f>
        <v>0</v>
      </c>
      <c r="CZ27">
        <f>AH27</f>
        <v>0</v>
      </c>
      <c r="DA27">
        <f>AL27</f>
        <v>1</v>
      </c>
      <c r="DB27">
        <f t="shared" si="0"/>
        <v>0</v>
      </c>
      <c r="DC27">
        <f t="shared" si="1"/>
        <v>0</v>
      </c>
    </row>
    <row r="28" spans="1:107" x14ac:dyDescent="0.2">
      <c r="A28">
        <f>ROW(Source!A44)</f>
        <v>44</v>
      </c>
      <c r="B28">
        <v>45748053</v>
      </c>
      <c r="C28">
        <v>45748225</v>
      </c>
      <c r="D28">
        <v>24931797</v>
      </c>
      <c r="E28">
        <v>1</v>
      </c>
      <c r="F28">
        <v>1</v>
      </c>
      <c r="G28">
        <v>24859158</v>
      </c>
      <c r="H28">
        <v>2</v>
      </c>
      <c r="I28" t="s">
        <v>282</v>
      </c>
      <c r="J28" t="s">
        <v>283</v>
      </c>
      <c r="K28" t="s">
        <v>284</v>
      </c>
      <c r="L28">
        <v>1367</v>
      </c>
      <c r="N28">
        <v>1011</v>
      </c>
      <c r="O28" t="s">
        <v>269</v>
      </c>
      <c r="P28" t="s">
        <v>269</v>
      </c>
      <c r="Q28">
        <v>1</v>
      </c>
      <c r="W28">
        <v>0</v>
      </c>
      <c r="X28">
        <v>-1882480599</v>
      </c>
      <c r="Y28">
        <v>0.71</v>
      </c>
      <c r="AA28">
        <v>0</v>
      </c>
      <c r="AB28">
        <v>169.44</v>
      </c>
      <c r="AC28">
        <v>15.02</v>
      </c>
      <c r="AD28">
        <v>0</v>
      </c>
      <c r="AE28">
        <v>0</v>
      </c>
      <c r="AF28">
        <v>169.44</v>
      </c>
      <c r="AG28">
        <v>15.02</v>
      </c>
      <c r="AH28">
        <v>0</v>
      </c>
      <c r="AI28">
        <v>1</v>
      </c>
      <c r="AJ28">
        <v>1</v>
      </c>
      <c r="AK28">
        <v>1</v>
      </c>
      <c r="AL28">
        <v>1</v>
      </c>
      <c r="AN28">
        <v>0</v>
      </c>
      <c r="AO28">
        <v>1</v>
      </c>
      <c r="AP28">
        <v>0</v>
      </c>
      <c r="AQ28">
        <v>0</v>
      </c>
      <c r="AR28">
        <v>0</v>
      </c>
      <c r="AS28" t="s">
        <v>3</v>
      </c>
      <c r="AT28">
        <v>0.71</v>
      </c>
      <c r="AU28" t="s">
        <v>3</v>
      </c>
      <c r="AV28">
        <v>0</v>
      </c>
      <c r="AW28">
        <v>2</v>
      </c>
      <c r="AX28">
        <v>45748236</v>
      </c>
      <c r="AY28">
        <v>1</v>
      </c>
      <c r="AZ28">
        <v>0</v>
      </c>
      <c r="BA28">
        <v>28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Y28*Source!I44</f>
        <v>0.85199999999999998</v>
      </c>
      <c r="CY28">
        <f>AB28</f>
        <v>169.44</v>
      </c>
      <c r="CZ28">
        <f>AF28</f>
        <v>169.44</v>
      </c>
      <c r="DA28">
        <f>AJ28</f>
        <v>1</v>
      </c>
      <c r="DB28">
        <f t="shared" si="0"/>
        <v>120.3</v>
      </c>
      <c r="DC28">
        <f t="shared" si="1"/>
        <v>10.66</v>
      </c>
    </row>
    <row r="29" spans="1:107" x14ac:dyDescent="0.2">
      <c r="A29">
        <f>ROW(Source!A44)</f>
        <v>44</v>
      </c>
      <c r="B29">
        <v>45748053</v>
      </c>
      <c r="C29">
        <v>45748225</v>
      </c>
      <c r="D29">
        <v>24907428</v>
      </c>
      <c r="E29">
        <v>1</v>
      </c>
      <c r="F29">
        <v>1</v>
      </c>
      <c r="G29">
        <v>24859158</v>
      </c>
      <c r="H29">
        <v>3</v>
      </c>
      <c r="I29" t="s">
        <v>285</v>
      </c>
      <c r="J29" t="s">
        <v>286</v>
      </c>
      <c r="K29" t="s">
        <v>287</v>
      </c>
      <c r="L29">
        <v>1348</v>
      </c>
      <c r="N29">
        <v>1009</v>
      </c>
      <c r="O29" t="s">
        <v>44</v>
      </c>
      <c r="P29" t="s">
        <v>44</v>
      </c>
      <c r="Q29">
        <v>1000</v>
      </c>
      <c r="W29">
        <v>0</v>
      </c>
      <c r="X29">
        <v>435343267</v>
      </c>
      <c r="Y29">
        <v>0.06</v>
      </c>
      <c r="AA29">
        <v>3501.78</v>
      </c>
      <c r="AB29">
        <v>0</v>
      </c>
      <c r="AC29">
        <v>0</v>
      </c>
      <c r="AD29">
        <v>0</v>
      </c>
      <c r="AE29">
        <v>3501.78</v>
      </c>
      <c r="AF29">
        <v>0</v>
      </c>
      <c r="AG29">
        <v>0</v>
      </c>
      <c r="AH29">
        <v>0</v>
      </c>
      <c r="AI29">
        <v>1</v>
      </c>
      <c r="AJ29">
        <v>1</v>
      </c>
      <c r="AK29">
        <v>1</v>
      </c>
      <c r="AL29">
        <v>1</v>
      </c>
      <c r="AN29">
        <v>0</v>
      </c>
      <c r="AO29">
        <v>1</v>
      </c>
      <c r="AP29">
        <v>0</v>
      </c>
      <c r="AQ29">
        <v>0</v>
      </c>
      <c r="AR29">
        <v>0</v>
      </c>
      <c r="AS29" t="s">
        <v>3</v>
      </c>
      <c r="AT29">
        <v>0.06</v>
      </c>
      <c r="AU29" t="s">
        <v>3</v>
      </c>
      <c r="AV29">
        <v>0</v>
      </c>
      <c r="AW29">
        <v>2</v>
      </c>
      <c r="AX29">
        <v>45748237</v>
      </c>
      <c r="AY29">
        <v>1</v>
      </c>
      <c r="AZ29">
        <v>0</v>
      </c>
      <c r="BA29">
        <v>29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Y29*Source!I44</f>
        <v>7.1999999999999995E-2</v>
      </c>
      <c r="CY29">
        <f>AA29</f>
        <v>3501.78</v>
      </c>
      <c r="CZ29">
        <f>AE29</f>
        <v>3501.78</v>
      </c>
      <c r="DA29">
        <f>AI29</f>
        <v>1</v>
      </c>
      <c r="DB29">
        <f t="shared" si="0"/>
        <v>210.11</v>
      </c>
      <c r="DC29">
        <f t="shared" si="1"/>
        <v>0</v>
      </c>
    </row>
    <row r="30" spans="1:107" x14ac:dyDescent="0.2">
      <c r="A30">
        <f>ROW(Source!A44)</f>
        <v>44</v>
      </c>
      <c r="B30">
        <v>45748053</v>
      </c>
      <c r="C30">
        <v>45748225</v>
      </c>
      <c r="D30">
        <v>24926181</v>
      </c>
      <c r="E30">
        <v>1</v>
      </c>
      <c r="F30">
        <v>1</v>
      </c>
      <c r="G30">
        <v>24859158</v>
      </c>
      <c r="H30">
        <v>3</v>
      </c>
      <c r="I30" t="s">
        <v>70</v>
      </c>
      <c r="J30" t="s">
        <v>72</v>
      </c>
      <c r="K30" t="s">
        <v>71</v>
      </c>
      <c r="L30">
        <v>1348</v>
      </c>
      <c r="N30">
        <v>1009</v>
      </c>
      <c r="O30" t="s">
        <v>44</v>
      </c>
      <c r="P30" t="s">
        <v>44</v>
      </c>
      <c r="Q30">
        <v>1000</v>
      </c>
      <c r="W30">
        <v>0</v>
      </c>
      <c r="X30">
        <v>981832165</v>
      </c>
      <c r="Y30">
        <v>11.9</v>
      </c>
      <c r="AA30">
        <v>301.52</v>
      </c>
      <c r="AB30">
        <v>0</v>
      </c>
      <c r="AC30">
        <v>0</v>
      </c>
      <c r="AD30">
        <v>0</v>
      </c>
      <c r="AE30">
        <v>301.52</v>
      </c>
      <c r="AF30">
        <v>0</v>
      </c>
      <c r="AG30">
        <v>0</v>
      </c>
      <c r="AH30">
        <v>0</v>
      </c>
      <c r="AI30">
        <v>1</v>
      </c>
      <c r="AJ30">
        <v>1</v>
      </c>
      <c r="AK30">
        <v>1</v>
      </c>
      <c r="AL30">
        <v>1</v>
      </c>
      <c r="AN30">
        <v>0</v>
      </c>
      <c r="AO30">
        <v>0</v>
      </c>
      <c r="AP30">
        <v>0</v>
      </c>
      <c r="AQ30">
        <v>0</v>
      </c>
      <c r="AR30">
        <v>0</v>
      </c>
      <c r="AS30" t="s">
        <v>3</v>
      </c>
      <c r="AT30">
        <v>11.9</v>
      </c>
      <c r="AU30" t="s">
        <v>3</v>
      </c>
      <c r="AV30">
        <v>0</v>
      </c>
      <c r="AW30">
        <v>1</v>
      </c>
      <c r="AX30">
        <v>-1</v>
      </c>
      <c r="AY30">
        <v>0</v>
      </c>
      <c r="AZ30">
        <v>0</v>
      </c>
      <c r="BA30" t="s">
        <v>3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Y30*Source!I44</f>
        <v>14.28</v>
      </c>
      <c r="CY30">
        <f>AA30</f>
        <v>301.52</v>
      </c>
      <c r="CZ30">
        <f>AE30</f>
        <v>301.52</v>
      </c>
      <c r="DA30">
        <f>AI30</f>
        <v>1</v>
      </c>
      <c r="DB30">
        <f t="shared" si="0"/>
        <v>3588.09</v>
      </c>
      <c r="DC30">
        <f t="shared" si="1"/>
        <v>0</v>
      </c>
    </row>
    <row r="31" spans="1:107" x14ac:dyDescent="0.2">
      <c r="A31">
        <f>ROW(Source!A45)</f>
        <v>45</v>
      </c>
      <c r="B31">
        <v>45747932</v>
      </c>
      <c r="C31">
        <v>45748225</v>
      </c>
      <c r="D31">
        <v>24859163</v>
      </c>
      <c r="E31">
        <v>24859158</v>
      </c>
      <c r="F31">
        <v>1</v>
      </c>
      <c r="G31">
        <v>24859158</v>
      </c>
      <c r="H31">
        <v>1</v>
      </c>
      <c r="I31" t="s">
        <v>263</v>
      </c>
      <c r="J31" t="s">
        <v>3</v>
      </c>
      <c r="K31" t="s">
        <v>264</v>
      </c>
      <c r="L31">
        <v>1191</v>
      </c>
      <c r="N31">
        <v>1013</v>
      </c>
      <c r="O31" t="s">
        <v>265</v>
      </c>
      <c r="P31" t="s">
        <v>265</v>
      </c>
      <c r="Q31">
        <v>1</v>
      </c>
      <c r="W31">
        <v>0</v>
      </c>
      <c r="X31">
        <v>476480486</v>
      </c>
      <c r="Y31">
        <v>8.9600000000000009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1</v>
      </c>
      <c r="AJ31">
        <v>1</v>
      </c>
      <c r="AK31">
        <v>1</v>
      </c>
      <c r="AL31">
        <v>1</v>
      </c>
      <c r="AN31">
        <v>0</v>
      </c>
      <c r="AO31">
        <v>1</v>
      </c>
      <c r="AP31">
        <v>0</v>
      </c>
      <c r="AQ31">
        <v>0</v>
      </c>
      <c r="AR31">
        <v>0</v>
      </c>
      <c r="AS31" t="s">
        <v>3</v>
      </c>
      <c r="AT31">
        <v>8.9600000000000009</v>
      </c>
      <c r="AU31" t="s">
        <v>3</v>
      </c>
      <c r="AV31">
        <v>1</v>
      </c>
      <c r="AW31">
        <v>2</v>
      </c>
      <c r="AX31">
        <v>45748235</v>
      </c>
      <c r="AY31">
        <v>1</v>
      </c>
      <c r="AZ31">
        <v>0</v>
      </c>
      <c r="BA31">
        <v>31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Y31*Source!I45</f>
        <v>10.752000000000001</v>
      </c>
      <c r="CY31">
        <f>AD31</f>
        <v>0</v>
      </c>
      <c r="CZ31">
        <f>AH31</f>
        <v>0</v>
      </c>
      <c r="DA31">
        <f>AL31</f>
        <v>1</v>
      </c>
      <c r="DB31">
        <f t="shared" si="0"/>
        <v>0</v>
      </c>
      <c r="DC31">
        <f t="shared" si="1"/>
        <v>0</v>
      </c>
    </row>
    <row r="32" spans="1:107" x14ac:dyDescent="0.2">
      <c r="A32">
        <f>ROW(Source!A45)</f>
        <v>45</v>
      </c>
      <c r="B32">
        <v>45747932</v>
      </c>
      <c r="C32">
        <v>45748225</v>
      </c>
      <c r="D32">
        <v>24931797</v>
      </c>
      <c r="E32">
        <v>1</v>
      </c>
      <c r="F32">
        <v>1</v>
      </c>
      <c r="G32">
        <v>24859158</v>
      </c>
      <c r="H32">
        <v>2</v>
      </c>
      <c r="I32" t="s">
        <v>282</v>
      </c>
      <c r="J32" t="s">
        <v>283</v>
      </c>
      <c r="K32" t="s">
        <v>284</v>
      </c>
      <c r="L32">
        <v>1367</v>
      </c>
      <c r="N32">
        <v>1011</v>
      </c>
      <c r="O32" t="s">
        <v>269</v>
      </c>
      <c r="P32" t="s">
        <v>269</v>
      </c>
      <c r="Q32">
        <v>1</v>
      </c>
      <c r="W32">
        <v>0</v>
      </c>
      <c r="X32">
        <v>-1882480599</v>
      </c>
      <c r="Y32">
        <v>0.71</v>
      </c>
      <c r="AA32">
        <v>0</v>
      </c>
      <c r="AB32">
        <v>1486.64</v>
      </c>
      <c r="AC32">
        <v>395.19</v>
      </c>
      <c r="AD32">
        <v>0</v>
      </c>
      <c r="AE32">
        <v>0</v>
      </c>
      <c r="AF32">
        <v>169.44</v>
      </c>
      <c r="AG32">
        <v>15.02</v>
      </c>
      <c r="AH32">
        <v>0</v>
      </c>
      <c r="AI32">
        <v>1</v>
      </c>
      <c r="AJ32">
        <v>8.3800000000000008</v>
      </c>
      <c r="AK32">
        <v>25.13</v>
      </c>
      <c r="AL32">
        <v>1</v>
      </c>
      <c r="AN32">
        <v>0</v>
      </c>
      <c r="AO32">
        <v>1</v>
      </c>
      <c r="AP32">
        <v>0</v>
      </c>
      <c r="AQ32">
        <v>0</v>
      </c>
      <c r="AR32">
        <v>0</v>
      </c>
      <c r="AS32" t="s">
        <v>3</v>
      </c>
      <c r="AT32">
        <v>0.71</v>
      </c>
      <c r="AU32" t="s">
        <v>3</v>
      </c>
      <c r="AV32">
        <v>0</v>
      </c>
      <c r="AW32">
        <v>2</v>
      </c>
      <c r="AX32">
        <v>45748236</v>
      </c>
      <c r="AY32">
        <v>1</v>
      </c>
      <c r="AZ32">
        <v>0</v>
      </c>
      <c r="BA32">
        <v>32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Y32*Source!I45</f>
        <v>0.85199999999999998</v>
      </c>
      <c r="CY32">
        <f>AB32</f>
        <v>1486.64</v>
      </c>
      <c r="CZ32">
        <f>AF32</f>
        <v>169.44</v>
      </c>
      <c r="DA32">
        <f>AJ32</f>
        <v>8.3800000000000008</v>
      </c>
      <c r="DB32">
        <f t="shared" si="0"/>
        <v>120.3</v>
      </c>
      <c r="DC32">
        <f t="shared" si="1"/>
        <v>10.66</v>
      </c>
    </row>
    <row r="33" spans="1:107" x14ac:dyDescent="0.2">
      <c r="A33">
        <f>ROW(Source!A45)</f>
        <v>45</v>
      </c>
      <c r="B33">
        <v>45747932</v>
      </c>
      <c r="C33">
        <v>45748225</v>
      </c>
      <c r="D33">
        <v>24907428</v>
      </c>
      <c r="E33">
        <v>1</v>
      </c>
      <c r="F33">
        <v>1</v>
      </c>
      <c r="G33">
        <v>24859158</v>
      </c>
      <c r="H33">
        <v>3</v>
      </c>
      <c r="I33" t="s">
        <v>285</v>
      </c>
      <c r="J33" t="s">
        <v>286</v>
      </c>
      <c r="K33" t="s">
        <v>287</v>
      </c>
      <c r="L33">
        <v>1348</v>
      </c>
      <c r="N33">
        <v>1009</v>
      </c>
      <c r="O33" t="s">
        <v>44</v>
      </c>
      <c r="P33" t="s">
        <v>44</v>
      </c>
      <c r="Q33">
        <v>1000</v>
      </c>
      <c r="W33">
        <v>0</v>
      </c>
      <c r="X33">
        <v>435343267</v>
      </c>
      <c r="Y33">
        <v>0.06</v>
      </c>
      <c r="AA33">
        <v>23566.98</v>
      </c>
      <c r="AB33">
        <v>0</v>
      </c>
      <c r="AC33">
        <v>0</v>
      </c>
      <c r="AD33">
        <v>0</v>
      </c>
      <c r="AE33">
        <v>3501.78</v>
      </c>
      <c r="AF33">
        <v>0</v>
      </c>
      <c r="AG33">
        <v>0</v>
      </c>
      <c r="AH33">
        <v>0</v>
      </c>
      <c r="AI33">
        <v>6.73</v>
      </c>
      <c r="AJ33">
        <v>1</v>
      </c>
      <c r="AK33">
        <v>1</v>
      </c>
      <c r="AL33">
        <v>1</v>
      </c>
      <c r="AN33">
        <v>0</v>
      </c>
      <c r="AO33">
        <v>1</v>
      </c>
      <c r="AP33">
        <v>0</v>
      </c>
      <c r="AQ33">
        <v>0</v>
      </c>
      <c r="AR33">
        <v>0</v>
      </c>
      <c r="AS33" t="s">
        <v>3</v>
      </c>
      <c r="AT33">
        <v>0.06</v>
      </c>
      <c r="AU33" t="s">
        <v>3</v>
      </c>
      <c r="AV33">
        <v>0</v>
      </c>
      <c r="AW33">
        <v>2</v>
      </c>
      <c r="AX33">
        <v>45748237</v>
      </c>
      <c r="AY33">
        <v>1</v>
      </c>
      <c r="AZ33">
        <v>0</v>
      </c>
      <c r="BA33">
        <v>33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Y33*Source!I45</f>
        <v>7.1999999999999995E-2</v>
      </c>
      <c r="CY33">
        <f>AA33</f>
        <v>23566.98</v>
      </c>
      <c r="CZ33">
        <f>AE33</f>
        <v>3501.78</v>
      </c>
      <c r="DA33">
        <f>AI33</f>
        <v>6.73</v>
      </c>
      <c r="DB33">
        <f t="shared" ref="DB33:DB64" si="5">ROUND(ROUND(AT33*CZ33,2),6)</f>
        <v>210.11</v>
      </c>
      <c r="DC33">
        <f t="shared" ref="DC33:DC64" si="6">ROUND(ROUND(AT33*AG33,2),6)</f>
        <v>0</v>
      </c>
    </row>
    <row r="34" spans="1:107" x14ac:dyDescent="0.2">
      <c r="A34">
        <f>ROW(Source!A45)</f>
        <v>45</v>
      </c>
      <c r="B34">
        <v>45747932</v>
      </c>
      <c r="C34">
        <v>45748225</v>
      </c>
      <c r="D34">
        <v>24926181</v>
      </c>
      <c r="E34">
        <v>1</v>
      </c>
      <c r="F34">
        <v>1</v>
      </c>
      <c r="G34">
        <v>24859158</v>
      </c>
      <c r="H34">
        <v>3</v>
      </c>
      <c r="I34" t="s">
        <v>70</v>
      </c>
      <c r="J34" t="s">
        <v>72</v>
      </c>
      <c r="K34" t="s">
        <v>71</v>
      </c>
      <c r="L34">
        <v>1348</v>
      </c>
      <c r="N34">
        <v>1009</v>
      </c>
      <c r="O34" t="s">
        <v>44</v>
      </c>
      <c r="P34" t="s">
        <v>44</v>
      </c>
      <c r="Q34">
        <v>1000</v>
      </c>
      <c r="W34">
        <v>0</v>
      </c>
      <c r="X34">
        <v>981832165</v>
      </c>
      <c r="Y34">
        <v>11.9</v>
      </c>
      <c r="AA34">
        <v>2626.24</v>
      </c>
      <c r="AB34">
        <v>0</v>
      </c>
      <c r="AC34">
        <v>0</v>
      </c>
      <c r="AD34">
        <v>0</v>
      </c>
      <c r="AE34">
        <v>301.52</v>
      </c>
      <c r="AF34">
        <v>0</v>
      </c>
      <c r="AG34">
        <v>0</v>
      </c>
      <c r="AH34">
        <v>0</v>
      </c>
      <c r="AI34">
        <v>8.7100000000000009</v>
      </c>
      <c r="AJ34">
        <v>1</v>
      </c>
      <c r="AK34">
        <v>1</v>
      </c>
      <c r="AL34">
        <v>1</v>
      </c>
      <c r="AN34">
        <v>0</v>
      </c>
      <c r="AO34">
        <v>0</v>
      </c>
      <c r="AP34">
        <v>0</v>
      </c>
      <c r="AQ34">
        <v>0</v>
      </c>
      <c r="AR34">
        <v>0</v>
      </c>
      <c r="AS34" t="s">
        <v>3</v>
      </c>
      <c r="AT34">
        <v>11.9</v>
      </c>
      <c r="AU34" t="s">
        <v>3</v>
      </c>
      <c r="AV34">
        <v>0</v>
      </c>
      <c r="AW34">
        <v>1</v>
      </c>
      <c r="AX34">
        <v>-1</v>
      </c>
      <c r="AY34">
        <v>0</v>
      </c>
      <c r="AZ34">
        <v>0</v>
      </c>
      <c r="BA34" t="s">
        <v>3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Y34*Source!I45</f>
        <v>14.28</v>
      </c>
      <c r="CY34">
        <f>AA34</f>
        <v>2626.24</v>
      </c>
      <c r="CZ34">
        <f>AE34</f>
        <v>301.52</v>
      </c>
      <c r="DA34">
        <f>AI34</f>
        <v>8.7100000000000009</v>
      </c>
      <c r="DB34">
        <f t="shared" si="5"/>
        <v>3588.09</v>
      </c>
      <c r="DC34">
        <f t="shared" si="6"/>
        <v>0</v>
      </c>
    </row>
    <row r="35" spans="1:107" x14ac:dyDescent="0.2">
      <c r="A35">
        <f>ROW(Source!A83)</f>
        <v>83</v>
      </c>
      <c r="B35">
        <v>45748053</v>
      </c>
      <c r="C35">
        <v>45748350</v>
      </c>
      <c r="D35">
        <v>24859163</v>
      </c>
      <c r="E35">
        <v>24859158</v>
      </c>
      <c r="F35">
        <v>1</v>
      </c>
      <c r="G35">
        <v>24859158</v>
      </c>
      <c r="H35">
        <v>1</v>
      </c>
      <c r="I35" t="s">
        <v>263</v>
      </c>
      <c r="J35" t="s">
        <v>3</v>
      </c>
      <c r="K35" t="s">
        <v>264</v>
      </c>
      <c r="L35">
        <v>1191</v>
      </c>
      <c r="N35">
        <v>1013</v>
      </c>
      <c r="O35" t="s">
        <v>265</v>
      </c>
      <c r="P35" t="s">
        <v>265</v>
      </c>
      <c r="Q35">
        <v>1</v>
      </c>
      <c r="W35">
        <v>0</v>
      </c>
      <c r="X35">
        <v>476480486</v>
      </c>
      <c r="Y35">
        <v>76.7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1</v>
      </c>
      <c r="AJ35">
        <v>1</v>
      </c>
      <c r="AK35">
        <v>1</v>
      </c>
      <c r="AL35">
        <v>1</v>
      </c>
      <c r="AN35">
        <v>0</v>
      </c>
      <c r="AO35">
        <v>1</v>
      </c>
      <c r="AP35">
        <v>0</v>
      </c>
      <c r="AQ35">
        <v>0</v>
      </c>
      <c r="AR35">
        <v>0</v>
      </c>
      <c r="AS35" t="s">
        <v>3</v>
      </c>
      <c r="AT35">
        <v>76.7</v>
      </c>
      <c r="AU35" t="s">
        <v>3</v>
      </c>
      <c r="AV35">
        <v>1</v>
      </c>
      <c r="AW35">
        <v>2</v>
      </c>
      <c r="AX35">
        <v>45748403</v>
      </c>
      <c r="AY35">
        <v>1</v>
      </c>
      <c r="AZ35">
        <v>0</v>
      </c>
      <c r="BA35">
        <v>35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Y35*Source!I83</f>
        <v>78.234000000000009</v>
      </c>
      <c r="CY35">
        <f>AD35</f>
        <v>0</v>
      </c>
      <c r="CZ35">
        <f>AH35</f>
        <v>0</v>
      </c>
      <c r="DA35">
        <f>AL35</f>
        <v>1</v>
      </c>
      <c r="DB35">
        <f t="shared" si="5"/>
        <v>0</v>
      </c>
      <c r="DC35">
        <f t="shared" si="6"/>
        <v>0</v>
      </c>
    </row>
    <row r="36" spans="1:107" x14ac:dyDescent="0.2">
      <c r="A36">
        <f>ROW(Source!A84)</f>
        <v>84</v>
      </c>
      <c r="B36">
        <v>45747932</v>
      </c>
      <c r="C36">
        <v>45748350</v>
      </c>
      <c r="D36">
        <v>24859163</v>
      </c>
      <c r="E36">
        <v>24859158</v>
      </c>
      <c r="F36">
        <v>1</v>
      </c>
      <c r="G36">
        <v>24859158</v>
      </c>
      <c r="H36">
        <v>1</v>
      </c>
      <c r="I36" t="s">
        <v>263</v>
      </c>
      <c r="J36" t="s">
        <v>3</v>
      </c>
      <c r="K36" t="s">
        <v>264</v>
      </c>
      <c r="L36">
        <v>1191</v>
      </c>
      <c r="N36">
        <v>1013</v>
      </c>
      <c r="O36" t="s">
        <v>265</v>
      </c>
      <c r="P36" t="s">
        <v>265</v>
      </c>
      <c r="Q36">
        <v>1</v>
      </c>
      <c r="W36">
        <v>0</v>
      </c>
      <c r="X36">
        <v>476480486</v>
      </c>
      <c r="Y36">
        <v>76.7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1</v>
      </c>
      <c r="AJ36">
        <v>1</v>
      </c>
      <c r="AK36">
        <v>1</v>
      </c>
      <c r="AL36">
        <v>1</v>
      </c>
      <c r="AN36">
        <v>0</v>
      </c>
      <c r="AO36">
        <v>1</v>
      </c>
      <c r="AP36">
        <v>0</v>
      </c>
      <c r="AQ36">
        <v>0</v>
      </c>
      <c r="AR36">
        <v>0</v>
      </c>
      <c r="AS36" t="s">
        <v>3</v>
      </c>
      <c r="AT36">
        <v>76.7</v>
      </c>
      <c r="AU36" t="s">
        <v>3</v>
      </c>
      <c r="AV36">
        <v>1</v>
      </c>
      <c r="AW36">
        <v>2</v>
      </c>
      <c r="AX36">
        <v>45748403</v>
      </c>
      <c r="AY36">
        <v>1</v>
      </c>
      <c r="AZ36">
        <v>0</v>
      </c>
      <c r="BA36">
        <v>36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Y36*Source!I84</f>
        <v>78.234000000000009</v>
      </c>
      <c r="CY36">
        <f>AD36</f>
        <v>0</v>
      </c>
      <c r="CZ36">
        <f>AH36</f>
        <v>0</v>
      </c>
      <c r="DA36">
        <f>AL36</f>
        <v>1</v>
      </c>
      <c r="DB36">
        <f t="shared" si="5"/>
        <v>0</v>
      </c>
      <c r="DC36">
        <f t="shared" si="6"/>
        <v>0</v>
      </c>
    </row>
    <row r="37" spans="1:107" x14ac:dyDescent="0.2">
      <c r="A37">
        <f>ROW(Source!A85)</f>
        <v>85</v>
      </c>
      <c r="B37">
        <v>45748053</v>
      </c>
      <c r="C37">
        <v>45748352</v>
      </c>
      <c r="D37">
        <v>24859885</v>
      </c>
      <c r="E37">
        <v>24859158</v>
      </c>
      <c r="F37">
        <v>1</v>
      </c>
      <c r="G37">
        <v>24859158</v>
      </c>
      <c r="H37">
        <v>2</v>
      </c>
      <c r="I37" t="s">
        <v>276</v>
      </c>
      <c r="J37" t="s">
        <v>3</v>
      </c>
      <c r="K37" t="s">
        <v>277</v>
      </c>
      <c r="L37">
        <v>1344</v>
      </c>
      <c r="N37">
        <v>1008</v>
      </c>
      <c r="O37" t="s">
        <v>278</v>
      </c>
      <c r="P37" t="s">
        <v>278</v>
      </c>
      <c r="Q37">
        <v>1</v>
      </c>
      <c r="W37">
        <v>0</v>
      </c>
      <c r="X37">
        <v>-1180195794</v>
      </c>
      <c r="Y37">
        <v>8.86</v>
      </c>
      <c r="AA37">
        <v>0</v>
      </c>
      <c r="AB37">
        <v>1</v>
      </c>
      <c r="AC37">
        <v>0</v>
      </c>
      <c r="AD37">
        <v>0</v>
      </c>
      <c r="AE37">
        <v>0</v>
      </c>
      <c r="AF37">
        <v>1</v>
      </c>
      <c r="AG37">
        <v>0</v>
      </c>
      <c r="AH37">
        <v>0</v>
      </c>
      <c r="AI37">
        <v>1</v>
      </c>
      <c r="AJ37">
        <v>1</v>
      </c>
      <c r="AK37">
        <v>1</v>
      </c>
      <c r="AL37">
        <v>1</v>
      </c>
      <c r="AN37">
        <v>0</v>
      </c>
      <c r="AO37">
        <v>1</v>
      </c>
      <c r="AP37">
        <v>0</v>
      </c>
      <c r="AQ37">
        <v>0</v>
      </c>
      <c r="AR37">
        <v>0</v>
      </c>
      <c r="AS37" t="s">
        <v>3</v>
      </c>
      <c r="AT37">
        <v>8.86</v>
      </c>
      <c r="AU37" t="s">
        <v>3</v>
      </c>
      <c r="AV37">
        <v>0</v>
      </c>
      <c r="AW37">
        <v>2</v>
      </c>
      <c r="AX37">
        <v>45748404</v>
      </c>
      <c r="AY37">
        <v>1</v>
      </c>
      <c r="AZ37">
        <v>0</v>
      </c>
      <c r="BA37">
        <v>37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Y37*Source!I85</f>
        <v>236.44026359999998</v>
      </c>
      <c r="CY37">
        <f>AB37</f>
        <v>1</v>
      </c>
      <c r="CZ37">
        <f>AF37</f>
        <v>1</v>
      </c>
      <c r="DA37">
        <f>AJ37</f>
        <v>1</v>
      </c>
      <c r="DB37">
        <f t="shared" si="5"/>
        <v>8.86</v>
      </c>
      <c r="DC37">
        <f t="shared" si="6"/>
        <v>0</v>
      </c>
    </row>
    <row r="38" spans="1:107" x14ac:dyDescent="0.2">
      <c r="A38">
        <f>ROW(Source!A86)</f>
        <v>86</v>
      </c>
      <c r="B38">
        <v>45747932</v>
      </c>
      <c r="C38">
        <v>45748352</v>
      </c>
      <c r="D38">
        <v>24859885</v>
      </c>
      <c r="E38">
        <v>24859158</v>
      </c>
      <c r="F38">
        <v>1</v>
      </c>
      <c r="G38">
        <v>24859158</v>
      </c>
      <c r="H38">
        <v>2</v>
      </c>
      <c r="I38" t="s">
        <v>276</v>
      </c>
      <c r="J38" t="s">
        <v>3</v>
      </c>
      <c r="K38" t="s">
        <v>277</v>
      </c>
      <c r="L38">
        <v>1344</v>
      </c>
      <c r="N38">
        <v>1008</v>
      </c>
      <c r="O38" t="s">
        <v>278</v>
      </c>
      <c r="P38" t="s">
        <v>278</v>
      </c>
      <c r="Q38">
        <v>1</v>
      </c>
      <c r="W38">
        <v>0</v>
      </c>
      <c r="X38">
        <v>-1180195794</v>
      </c>
      <c r="Y38">
        <v>8.86</v>
      </c>
      <c r="AA38">
        <v>0</v>
      </c>
      <c r="AB38">
        <v>1.05</v>
      </c>
      <c r="AC38">
        <v>0</v>
      </c>
      <c r="AD38">
        <v>0</v>
      </c>
      <c r="AE38">
        <v>0</v>
      </c>
      <c r="AF38">
        <v>1</v>
      </c>
      <c r="AG38">
        <v>0</v>
      </c>
      <c r="AH38">
        <v>0</v>
      </c>
      <c r="AI38">
        <v>1</v>
      </c>
      <c r="AJ38">
        <v>1</v>
      </c>
      <c r="AK38">
        <v>1</v>
      </c>
      <c r="AL38">
        <v>1</v>
      </c>
      <c r="AN38">
        <v>0</v>
      </c>
      <c r="AO38">
        <v>1</v>
      </c>
      <c r="AP38">
        <v>0</v>
      </c>
      <c r="AQ38">
        <v>0</v>
      </c>
      <c r="AR38">
        <v>0</v>
      </c>
      <c r="AS38" t="s">
        <v>3</v>
      </c>
      <c r="AT38">
        <v>8.86</v>
      </c>
      <c r="AU38" t="s">
        <v>3</v>
      </c>
      <c r="AV38">
        <v>0</v>
      </c>
      <c r="AW38">
        <v>2</v>
      </c>
      <c r="AX38">
        <v>45748404</v>
      </c>
      <c r="AY38">
        <v>1</v>
      </c>
      <c r="AZ38">
        <v>0</v>
      </c>
      <c r="BA38">
        <v>38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Y38*Source!I86</f>
        <v>236.44026359999998</v>
      </c>
      <c r="CY38">
        <f>AB38</f>
        <v>1.05</v>
      </c>
      <c r="CZ38">
        <f>AF38</f>
        <v>1</v>
      </c>
      <c r="DA38">
        <f>AJ38</f>
        <v>1</v>
      </c>
      <c r="DB38">
        <f t="shared" si="5"/>
        <v>8.86</v>
      </c>
      <c r="DC38">
        <f t="shared" si="6"/>
        <v>0</v>
      </c>
    </row>
    <row r="39" spans="1:107" x14ac:dyDescent="0.2">
      <c r="A39">
        <f>ROW(Source!A87)</f>
        <v>87</v>
      </c>
      <c r="B39">
        <v>45748053</v>
      </c>
      <c r="C39">
        <v>45748355</v>
      </c>
      <c r="D39">
        <v>24859163</v>
      </c>
      <c r="E39">
        <v>24859158</v>
      </c>
      <c r="F39">
        <v>1</v>
      </c>
      <c r="G39">
        <v>24859158</v>
      </c>
      <c r="H39">
        <v>1</v>
      </c>
      <c r="I39" t="s">
        <v>263</v>
      </c>
      <c r="J39" t="s">
        <v>3</v>
      </c>
      <c r="K39" t="s">
        <v>264</v>
      </c>
      <c r="L39">
        <v>1191</v>
      </c>
      <c r="N39">
        <v>1013</v>
      </c>
      <c r="O39" t="s">
        <v>265</v>
      </c>
      <c r="P39" t="s">
        <v>265</v>
      </c>
      <c r="Q39">
        <v>1</v>
      </c>
      <c r="W39">
        <v>0</v>
      </c>
      <c r="X39">
        <v>476480486</v>
      </c>
      <c r="Y39">
        <v>1.02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1</v>
      </c>
      <c r="AJ39">
        <v>1</v>
      </c>
      <c r="AK39">
        <v>1</v>
      </c>
      <c r="AL39">
        <v>1</v>
      </c>
      <c r="AN39">
        <v>0</v>
      </c>
      <c r="AO39">
        <v>1</v>
      </c>
      <c r="AP39">
        <v>0</v>
      </c>
      <c r="AQ39">
        <v>0</v>
      </c>
      <c r="AR39">
        <v>0</v>
      </c>
      <c r="AS39" t="s">
        <v>3</v>
      </c>
      <c r="AT39">
        <v>1.02</v>
      </c>
      <c r="AU39" t="s">
        <v>3</v>
      </c>
      <c r="AV39">
        <v>1</v>
      </c>
      <c r="AW39">
        <v>2</v>
      </c>
      <c r="AX39">
        <v>45748405</v>
      </c>
      <c r="AY39">
        <v>1</v>
      </c>
      <c r="AZ39">
        <v>0</v>
      </c>
      <c r="BA39">
        <v>39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Y39*Source!I87</f>
        <v>1.4326307999999999</v>
      </c>
      <c r="CY39">
        <f>AD39</f>
        <v>0</v>
      </c>
      <c r="CZ39">
        <f>AH39</f>
        <v>0</v>
      </c>
      <c r="DA39">
        <f>AL39</f>
        <v>1</v>
      </c>
      <c r="DB39">
        <f t="shared" si="5"/>
        <v>0</v>
      </c>
      <c r="DC39">
        <f t="shared" si="6"/>
        <v>0</v>
      </c>
    </row>
    <row r="40" spans="1:107" x14ac:dyDescent="0.2">
      <c r="A40">
        <f>ROW(Source!A88)</f>
        <v>88</v>
      </c>
      <c r="B40">
        <v>45747932</v>
      </c>
      <c r="C40">
        <v>45748355</v>
      </c>
      <c r="D40">
        <v>24859163</v>
      </c>
      <c r="E40">
        <v>24859158</v>
      </c>
      <c r="F40">
        <v>1</v>
      </c>
      <c r="G40">
        <v>24859158</v>
      </c>
      <c r="H40">
        <v>1</v>
      </c>
      <c r="I40" t="s">
        <v>263</v>
      </c>
      <c r="J40" t="s">
        <v>3</v>
      </c>
      <c r="K40" t="s">
        <v>264</v>
      </c>
      <c r="L40">
        <v>1191</v>
      </c>
      <c r="N40">
        <v>1013</v>
      </c>
      <c r="O40" t="s">
        <v>265</v>
      </c>
      <c r="P40" t="s">
        <v>265</v>
      </c>
      <c r="Q40">
        <v>1</v>
      </c>
      <c r="W40">
        <v>0</v>
      </c>
      <c r="X40">
        <v>476480486</v>
      </c>
      <c r="Y40">
        <v>1.02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1</v>
      </c>
      <c r="AJ40">
        <v>1</v>
      </c>
      <c r="AK40">
        <v>1</v>
      </c>
      <c r="AL40">
        <v>1</v>
      </c>
      <c r="AN40">
        <v>0</v>
      </c>
      <c r="AO40">
        <v>1</v>
      </c>
      <c r="AP40">
        <v>0</v>
      </c>
      <c r="AQ40">
        <v>0</v>
      </c>
      <c r="AR40">
        <v>0</v>
      </c>
      <c r="AS40" t="s">
        <v>3</v>
      </c>
      <c r="AT40">
        <v>1.02</v>
      </c>
      <c r="AU40" t="s">
        <v>3</v>
      </c>
      <c r="AV40">
        <v>1</v>
      </c>
      <c r="AW40">
        <v>2</v>
      </c>
      <c r="AX40">
        <v>45748405</v>
      </c>
      <c r="AY40">
        <v>1</v>
      </c>
      <c r="AZ40">
        <v>0</v>
      </c>
      <c r="BA40">
        <v>40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Y40*Source!I88</f>
        <v>1.4326307999999999</v>
      </c>
      <c r="CY40">
        <f>AD40</f>
        <v>0</v>
      </c>
      <c r="CZ40">
        <f>AH40</f>
        <v>0</v>
      </c>
      <c r="DA40">
        <f>AL40</f>
        <v>1</v>
      </c>
      <c r="DB40">
        <f t="shared" si="5"/>
        <v>0</v>
      </c>
      <c r="DC40">
        <f t="shared" si="6"/>
        <v>0</v>
      </c>
    </row>
    <row r="41" spans="1:107" x14ac:dyDescent="0.2">
      <c r="A41">
        <f>ROW(Source!A89)</f>
        <v>89</v>
      </c>
      <c r="B41">
        <v>45748053</v>
      </c>
      <c r="C41">
        <v>45748358</v>
      </c>
      <c r="D41">
        <v>26556675</v>
      </c>
      <c r="E41">
        <v>1</v>
      </c>
      <c r="F41">
        <v>1</v>
      </c>
      <c r="G41">
        <v>24859158</v>
      </c>
      <c r="H41">
        <v>2</v>
      </c>
      <c r="I41" t="s">
        <v>279</v>
      </c>
      <c r="J41" t="s">
        <v>280</v>
      </c>
      <c r="K41" t="s">
        <v>281</v>
      </c>
      <c r="L41">
        <v>1367</v>
      </c>
      <c r="N41">
        <v>1011</v>
      </c>
      <c r="O41" t="s">
        <v>269</v>
      </c>
      <c r="P41" t="s">
        <v>269</v>
      </c>
      <c r="Q41">
        <v>1</v>
      </c>
      <c r="W41">
        <v>0</v>
      </c>
      <c r="X41">
        <v>-1191656485</v>
      </c>
      <c r="Y41">
        <v>1</v>
      </c>
      <c r="AA41">
        <v>0</v>
      </c>
      <c r="AB41">
        <v>193.32</v>
      </c>
      <c r="AC41">
        <v>18.11</v>
      </c>
      <c r="AD41">
        <v>0</v>
      </c>
      <c r="AE41">
        <v>0</v>
      </c>
      <c r="AF41">
        <v>193.32</v>
      </c>
      <c r="AG41">
        <v>18.11</v>
      </c>
      <c r="AH41">
        <v>0</v>
      </c>
      <c r="AI41">
        <v>1</v>
      </c>
      <c r="AJ41">
        <v>1</v>
      </c>
      <c r="AK41">
        <v>1</v>
      </c>
      <c r="AL41">
        <v>1</v>
      </c>
      <c r="AN41">
        <v>0</v>
      </c>
      <c r="AO41">
        <v>1</v>
      </c>
      <c r="AP41">
        <v>0</v>
      </c>
      <c r="AQ41">
        <v>0</v>
      </c>
      <c r="AR41">
        <v>0</v>
      </c>
      <c r="AS41" t="s">
        <v>3</v>
      </c>
      <c r="AT41">
        <v>1</v>
      </c>
      <c r="AU41" t="s">
        <v>3</v>
      </c>
      <c r="AV41">
        <v>0</v>
      </c>
      <c r="AW41">
        <v>2</v>
      </c>
      <c r="AX41">
        <v>45748406</v>
      </c>
      <c r="AY41">
        <v>1</v>
      </c>
      <c r="AZ41">
        <v>0</v>
      </c>
      <c r="BA41">
        <v>41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Y41*Source!I89</f>
        <v>28.090800000000002</v>
      </c>
      <c r="CY41">
        <f>AB41</f>
        <v>193.32</v>
      </c>
      <c r="CZ41">
        <f>AF41</f>
        <v>193.32</v>
      </c>
      <c r="DA41">
        <f>AJ41</f>
        <v>1</v>
      </c>
      <c r="DB41">
        <f t="shared" si="5"/>
        <v>193.32</v>
      </c>
      <c r="DC41">
        <f t="shared" si="6"/>
        <v>18.11</v>
      </c>
    </row>
    <row r="42" spans="1:107" x14ac:dyDescent="0.2">
      <c r="A42">
        <f>ROW(Source!A90)</f>
        <v>90</v>
      </c>
      <c r="B42">
        <v>45747932</v>
      </c>
      <c r="C42">
        <v>45748358</v>
      </c>
      <c r="D42">
        <v>26556675</v>
      </c>
      <c r="E42">
        <v>1</v>
      </c>
      <c r="F42">
        <v>1</v>
      </c>
      <c r="G42">
        <v>24859158</v>
      </c>
      <c r="H42">
        <v>2</v>
      </c>
      <c r="I42" t="s">
        <v>279</v>
      </c>
      <c r="J42" t="s">
        <v>280</v>
      </c>
      <c r="K42" t="s">
        <v>281</v>
      </c>
      <c r="L42">
        <v>1367</v>
      </c>
      <c r="N42">
        <v>1011</v>
      </c>
      <c r="O42" t="s">
        <v>269</v>
      </c>
      <c r="P42" t="s">
        <v>269</v>
      </c>
      <c r="Q42">
        <v>1</v>
      </c>
      <c r="W42">
        <v>0</v>
      </c>
      <c r="X42">
        <v>-1191656485</v>
      </c>
      <c r="Y42">
        <v>1</v>
      </c>
      <c r="AA42">
        <v>0</v>
      </c>
      <c r="AB42">
        <v>1606.49</v>
      </c>
      <c r="AC42">
        <v>455.1</v>
      </c>
      <c r="AD42">
        <v>0</v>
      </c>
      <c r="AE42">
        <v>0</v>
      </c>
      <c r="AF42">
        <v>193.32</v>
      </c>
      <c r="AG42">
        <v>18.11</v>
      </c>
      <c r="AH42">
        <v>0</v>
      </c>
      <c r="AI42">
        <v>1</v>
      </c>
      <c r="AJ42">
        <v>8.31</v>
      </c>
      <c r="AK42">
        <v>25.13</v>
      </c>
      <c r="AL42">
        <v>1</v>
      </c>
      <c r="AN42">
        <v>0</v>
      </c>
      <c r="AO42">
        <v>1</v>
      </c>
      <c r="AP42">
        <v>0</v>
      </c>
      <c r="AQ42">
        <v>0</v>
      </c>
      <c r="AR42">
        <v>0</v>
      </c>
      <c r="AS42" t="s">
        <v>3</v>
      </c>
      <c r="AT42">
        <v>1</v>
      </c>
      <c r="AU42" t="s">
        <v>3</v>
      </c>
      <c r="AV42">
        <v>0</v>
      </c>
      <c r="AW42">
        <v>2</v>
      </c>
      <c r="AX42">
        <v>45748406</v>
      </c>
      <c r="AY42">
        <v>1</v>
      </c>
      <c r="AZ42">
        <v>0</v>
      </c>
      <c r="BA42">
        <v>42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Y42*Source!I90</f>
        <v>28.090800000000002</v>
      </c>
      <c r="CY42">
        <f>AB42</f>
        <v>1606.49</v>
      </c>
      <c r="CZ42">
        <f>AF42</f>
        <v>193.32</v>
      </c>
      <c r="DA42">
        <f>AJ42</f>
        <v>8.31</v>
      </c>
      <c r="DB42">
        <f t="shared" si="5"/>
        <v>193.32</v>
      </c>
      <c r="DC42">
        <f t="shared" si="6"/>
        <v>18.11</v>
      </c>
    </row>
    <row r="43" spans="1:107" x14ac:dyDescent="0.2">
      <c r="A43">
        <f>ROW(Source!A91)</f>
        <v>91</v>
      </c>
      <c r="B43">
        <v>45748053</v>
      </c>
      <c r="C43">
        <v>45748389</v>
      </c>
      <c r="D43">
        <v>24859885</v>
      </c>
      <c r="E43">
        <v>24859158</v>
      </c>
      <c r="F43">
        <v>1</v>
      </c>
      <c r="G43">
        <v>24859158</v>
      </c>
      <c r="H43">
        <v>2</v>
      </c>
      <c r="I43" t="s">
        <v>276</v>
      </c>
      <c r="J43" t="s">
        <v>3</v>
      </c>
      <c r="K43" t="s">
        <v>277</v>
      </c>
      <c r="L43">
        <v>1344</v>
      </c>
      <c r="N43">
        <v>1008</v>
      </c>
      <c r="O43" t="s">
        <v>278</v>
      </c>
      <c r="P43" t="s">
        <v>278</v>
      </c>
      <c r="Q43">
        <v>1</v>
      </c>
      <c r="W43">
        <v>0</v>
      </c>
      <c r="X43">
        <v>-1180195794</v>
      </c>
      <c r="Y43">
        <v>21.71</v>
      </c>
      <c r="AA43">
        <v>0</v>
      </c>
      <c r="AB43">
        <v>1</v>
      </c>
      <c r="AC43">
        <v>0</v>
      </c>
      <c r="AD43">
        <v>0</v>
      </c>
      <c r="AE43">
        <v>0</v>
      </c>
      <c r="AF43">
        <v>1</v>
      </c>
      <c r="AG43">
        <v>0</v>
      </c>
      <c r="AH43">
        <v>0</v>
      </c>
      <c r="AI43">
        <v>1</v>
      </c>
      <c r="AJ43">
        <v>1</v>
      </c>
      <c r="AK43">
        <v>1</v>
      </c>
      <c r="AL43">
        <v>1</v>
      </c>
      <c r="AN43">
        <v>0</v>
      </c>
      <c r="AO43">
        <v>1</v>
      </c>
      <c r="AP43">
        <v>0</v>
      </c>
      <c r="AQ43">
        <v>0</v>
      </c>
      <c r="AR43">
        <v>0</v>
      </c>
      <c r="AS43" t="s">
        <v>3</v>
      </c>
      <c r="AT43">
        <v>21.71</v>
      </c>
      <c r="AU43" t="s">
        <v>3</v>
      </c>
      <c r="AV43">
        <v>0</v>
      </c>
      <c r="AW43">
        <v>2</v>
      </c>
      <c r="AX43">
        <v>45748407</v>
      </c>
      <c r="AY43">
        <v>1</v>
      </c>
      <c r="AZ43">
        <v>0</v>
      </c>
      <c r="BA43">
        <v>43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Y43*Source!I91</f>
        <v>609.851268</v>
      </c>
      <c r="CY43">
        <f>AB43</f>
        <v>1</v>
      </c>
      <c r="CZ43">
        <f>AF43</f>
        <v>1</v>
      </c>
      <c r="DA43">
        <f>AJ43</f>
        <v>1</v>
      </c>
      <c r="DB43">
        <f t="shared" si="5"/>
        <v>21.71</v>
      </c>
      <c r="DC43">
        <f t="shared" si="6"/>
        <v>0</v>
      </c>
    </row>
    <row r="44" spans="1:107" x14ac:dyDescent="0.2">
      <c r="A44">
        <f>ROW(Source!A92)</f>
        <v>92</v>
      </c>
      <c r="B44">
        <v>45747932</v>
      </c>
      <c r="C44">
        <v>45748389</v>
      </c>
      <c r="D44">
        <v>24859885</v>
      </c>
      <c r="E44">
        <v>24859158</v>
      </c>
      <c r="F44">
        <v>1</v>
      </c>
      <c r="G44">
        <v>24859158</v>
      </c>
      <c r="H44">
        <v>2</v>
      </c>
      <c r="I44" t="s">
        <v>276</v>
      </c>
      <c r="J44" t="s">
        <v>3</v>
      </c>
      <c r="K44" t="s">
        <v>277</v>
      </c>
      <c r="L44">
        <v>1344</v>
      </c>
      <c r="N44">
        <v>1008</v>
      </c>
      <c r="O44" t="s">
        <v>278</v>
      </c>
      <c r="P44" t="s">
        <v>278</v>
      </c>
      <c r="Q44">
        <v>1</v>
      </c>
      <c r="W44">
        <v>0</v>
      </c>
      <c r="X44">
        <v>-1180195794</v>
      </c>
      <c r="Y44">
        <v>21.71</v>
      </c>
      <c r="AA44">
        <v>0</v>
      </c>
      <c r="AB44">
        <v>1</v>
      </c>
      <c r="AC44">
        <v>0</v>
      </c>
      <c r="AD44">
        <v>0</v>
      </c>
      <c r="AE44">
        <v>0</v>
      </c>
      <c r="AF44">
        <v>1</v>
      </c>
      <c r="AG44">
        <v>0</v>
      </c>
      <c r="AH44">
        <v>0</v>
      </c>
      <c r="AI44">
        <v>1</v>
      </c>
      <c r="AJ44">
        <v>1</v>
      </c>
      <c r="AK44">
        <v>1</v>
      </c>
      <c r="AL44">
        <v>1</v>
      </c>
      <c r="AN44">
        <v>0</v>
      </c>
      <c r="AO44">
        <v>1</v>
      </c>
      <c r="AP44">
        <v>0</v>
      </c>
      <c r="AQ44">
        <v>0</v>
      </c>
      <c r="AR44">
        <v>0</v>
      </c>
      <c r="AS44" t="s">
        <v>3</v>
      </c>
      <c r="AT44">
        <v>21.71</v>
      </c>
      <c r="AU44" t="s">
        <v>3</v>
      </c>
      <c r="AV44">
        <v>0</v>
      </c>
      <c r="AW44">
        <v>2</v>
      </c>
      <c r="AX44">
        <v>45748407</v>
      </c>
      <c r="AY44">
        <v>1</v>
      </c>
      <c r="AZ44">
        <v>0</v>
      </c>
      <c r="BA44">
        <v>44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Y44*Source!I92</f>
        <v>609.851268</v>
      </c>
      <c r="CY44">
        <f>AB44</f>
        <v>1</v>
      </c>
      <c r="CZ44">
        <f>AF44</f>
        <v>1</v>
      </c>
      <c r="DA44">
        <f>AJ44</f>
        <v>1</v>
      </c>
      <c r="DB44">
        <f t="shared" si="5"/>
        <v>21.71</v>
      </c>
      <c r="DC44">
        <f t="shared" si="6"/>
        <v>0</v>
      </c>
    </row>
    <row r="45" spans="1:107" x14ac:dyDescent="0.2">
      <c r="A45">
        <f>ROW(Source!A93)</f>
        <v>93</v>
      </c>
      <c r="B45">
        <v>45748053</v>
      </c>
      <c r="C45">
        <v>45748318</v>
      </c>
      <c r="D45">
        <v>24859163</v>
      </c>
      <c r="E45">
        <v>24859158</v>
      </c>
      <c r="F45">
        <v>1</v>
      </c>
      <c r="G45">
        <v>24859158</v>
      </c>
      <c r="H45">
        <v>1</v>
      </c>
      <c r="I45" t="s">
        <v>263</v>
      </c>
      <c r="J45" t="s">
        <v>3</v>
      </c>
      <c r="K45" t="s">
        <v>264</v>
      </c>
      <c r="L45">
        <v>1191</v>
      </c>
      <c r="N45">
        <v>1013</v>
      </c>
      <c r="O45" t="s">
        <v>265</v>
      </c>
      <c r="P45" t="s">
        <v>265</v>
      </c>
      <c r="Q45">
        <v>1</v>
      </c>
      <c r="W45">
        <v>0</v>
      </c>
      <c r="X45">
        <v>476480486</v>
      </c>
      <c r="Y45">
        <v>14.4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1</v>
      </c>
      <c r="AJ45">
        <v>1</v>
      </c>
      <c r="AK45">
        <v>1</v>
      </c>
      <c r="AL45">
        <v>1</v>
      </c>
      <c r="AN45">
        <v>0</v>
      </c>
      <c r="AO45">
        <v>1</v>
      </c>
      <c r="AP45">
        <v>0</v>
      </c>
      <c r="AQ45">
        <v>0</v>
      </c>
      <c r="AR45">
        <v>0</v>
      </c>
      <c r="AS45" t="s">
        <v>3</v>
      </c>
      <c r="AT45">
        <v>14.4</v>
      </c>
      <c r="AU45" t="s">
        <v>3</v>
      </c>
      <c r="AV45">
        <v>1</v>
      </c>
      <c r="AW45">
        <v>2</v>
      </c>
      <c r="AX45">
        <v>45748392</v>
      </c>
      <c r="AY45">
        <v>1</v>
      </c>
      <c r="AZ45">
        <v>0</v>
      </c>
      <c r="BA45">
        <v>45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Y45*Source!I93</f>
        <v>0.51408000000000009</v>
      </c>
      <c r="CY45">
        <f>AD45</f>
        <v>0</v>
      </c>
      <c r="CZ45">
        <f>AH45</f>
        <v>0</v>
      </c>
      <c r="DA45">
        <f>AL45</f>
        <v>1</v>
      </c>
      <c r="DB45">
        <f t="shared" si="5"/>
        <v>0</v>
      </c>
      <c r="DC45">
        <f t="shared" si="6"/>
        <v>0</v>
      </c>
    </row>
    <row r="46" spans="1:107" x14ac:dyDescent="0.2">
      <c r="A46">
        <f>ROW(Source!A93)</f>
        <v>93</v>
      </c>
      <c r="B46">
        <v>45748053</v>
      </c>
      <c r="C46">
        <v>45748318</v>
      </c>
      <c r="D46">
        <v>24931586</v>
      </c>
      <c r="E46">
        <v>1</v>
      </c>
      <c r="F46">
        <v>1</v>
      </c>
      <c r="G46">
        <v>24859158</v>
      </c>
      <c r="H46">
        <v>2</v>
      </c>
      <c r="I46" t="s">
        <v>288</v>
      </c>
      <c r="J46" t="s">
        <v>289</v>
      </c>
      <c r="K46" t="s">
        <v>290</v>
      </c>
      <c r="L46">
        <v>1367</v>
      </c>
      <c r="N46">
        <v>1011</v>
      </c>
      <c r="O46" t="s">
        <v>269</v>
      </c>
      <c r="P46" t="s">
        <v>269</v>
      </c>
      <c r="Q46">
        <v>1</v>
      </c>
      <c r="W46">
        <v>0</v>
      </c>
      <c r="X46">
        <v>1928543733</v>
      </c>
      <c r="Y46">
        <v>1.66</v>
      </c>
      <c r="AA46">
        <v>0</v>
      </c>
      <c r="AB46">
        <v>116.89</v>
      </c>
      <c r="AC46">
        <v>23.41</v>
      </c>
      <c r="AD46">
        <v>0</v>
      </c>
      <c r="AE46">
        <v>0</v>
      </c>
      <c r="AF46">
        <v>116.89</v>
      </c>
      <c r="AG46">
        <v>23.41</v>
      </c>
      <c r="AH46">
        <v>0</v>
      </c>
      <c r="AI46">
        <v>1</v>
      </c>
      <c r="AJ46">
        <v>1</v>
      </c>
      <c r="AK46">
        <v>1</v>
      </c>
      <c r="AL46">
        <v>1</v>
      </c>
      <c r="AN46">
        <v>0</v>
      </c>
      <c r="AO46">
        <v>1</v>
      </c>
      <c r="AP46">
        <v>0</v>
      </c>
      <c r="AQ46">
        <v>0</v>
      </c>
      <c r="AR46">
        <v>0</v>
      </c>
      <c r="AS46" t="s">
        <v>3</v>
      </c>
      <c r="AT46">
        <v>1.66</v>
      </c>
      <c r="AU46" t="s">
        <v>3</v>
      </c>
      <c r="AV46">
        <v>0</v>
      </c>
      <c r="AW46">
        <v>2</v>
      </c>
      <c r="AX46">
        <v>45748393</v>
      </c>
      <c r="AY46">
        <v>1</v>
      </c>
      <c r="AZ46">
        <v>0</v>
      </c>
      <c r="BA46">
        <v>46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Y46*Source!I93</f>
        <v>5.9262000000000002E-2</v>
      </c>
      <c r="CY46">
        <f>AB46</f>
        <v>116.89</v>
      </c>
      <c r="CZ46">
        <f>AF46</f>
        <v>116.89</v>
      </c>
      <c r="DA46">
        <f>AJ46</f>
        <v>1</v>
      </c>
      <c r="DB46">
        <f t="shared" si="5"/>
        <v>194.04</v>
      </c>
      <c r="DC46">
        <f t="shared" si="6"/>
        <v>38.86</v>
      </c>
    </row>
    <row r="47" spans="1:107" x14ac:dyDescent="0.2">
      <c r="A47">
        <f>ROW(Source!A93)</f>
        <v>93</v>
      </c>
      <c r="B47">
        <v>45748053</v>
      </c>
      <c r="C47">
        <v>45748318</v>
      </c>
      <c r="D47">
        <v>24931809</v>
      </c>
      <c r="E47">
        <v>1</v>
      </c>
      <c r="F47">
        <v>1</v>
      </c>
      <c r="G47">
        <v>24859158</v>
      </c>
      <c r="H47">
        <v>2</v>
      </c>
      <c r="I47" t="s">
        <v>291</v>
      </c>
      <c r="J47" t="s">
        <v>292</v>
      </c>
      <c r="K47" t="s">
        <v>293</v>
      </c>
      <c r="L47">
        <v>1367</v>
      </c>
      <c r="N47">
        <v>1011</v>
      </c>
      <c r="O47" t="s">
        <v>269</v>
      </c>
      <c r="P47" t="s">
        <v>269</v>
      </c>
      <c r="Q47">
        <v>1</v>
      </c>
      <c r="W47">
        <v>0</v>
      </c>
      <c r="X47">
        <v>142191915</v>
      </c>
      <c r="Y47">
        <v>1.66</v>
      </c>
      <c r="AA47">
        <v>0</v>
      </c>
      <c r="AB47">
        <v>62.97</v>
      </c>
      <c r="AC47">
        <v>6.64</v>
      </c>
      <c r="AD47">
        <v>0</v>
      </c>
      <c r="AE47">
        <v>0</v>
      </c>
      <c r="AF47">
        <v>62.97</v>
      </c>
      <c r="AG47">
        <v>6.64</v>
      </c>
      <c r="AH47">
        <v>0</v>
      </c>
      <c r="AI47">
        <v>1</v>
      </c>
      <c r="AJ47">
        <v>1</v>
      </c>
      <c r="AK47">
        <v>1</v>
      </c>
      <c r="AL47">
        <v>1</v>
      </c>
      <c r="AN47">
        <v>0</v>
      </c>
      <c r="AO47">
        <v>1</v>
      </c>
      <c r="AP47">
        <v>0</v>
      </c>
      <c r="AQ47">
        <v>0</v>
      </c>
      <c r="AR47">
        <v>0</v>
      </c>
      <c r="AS47" t="s">
        <v>3</v>
      </c>
      <c r="AT47">
        <v>1.66</v>
      </c>
      <c r="AU47" t="s">
        <v>3</v>
      </c>
      <c r="AV47">
        <v>0</v>
      </c>
      <c r="AW47">
        <v>2</v>
      </c>
      <c r="AX47">
        <v>45748394</v>
      </c>
      <c r="AY47">
        <v>1</v>
      </c>
      <c r="AZ47">
        <v>0</v>
      </c>
      <c r="BA47">
        <v>47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Y47*Source!I93</f>
        <v>5.9262000000000002E-2</v>
      </c>
      <c r="CY47">
        <f>AB47</f>
        <v>62.97</v>
      </c>
      <c r="CZ47">
        <f>AF47</f>
        <v>62.97</v>
      </c>
      <c r="DA47">
        <f>AJ47</f>
        <v>1</v>
      </c>
      <c r="DB47">
        <f t="shared" si="5"/>
        <v>104.53</v>
      </c>
      <c r="DC47">
        <f t="shared" si="6"/>
        <v>11.02</v>
      </c>
    </row>
    <row r="48" spans="1:107" x14ac:dyDescent="0.2">
      <c r="A48">
        <f>ROW(Source!A93)</f>
        <v>93</v>
      </c>
      <c r="B48">
        <v>45748053</v>
      </c>
      <c r="C48">
        <v>45748318</v>
      </c>
      <c r="D48">
        <v>24931812</v>
      </c>
      <c r="E48">
        <v>1</v>
      </c>
      <c r="F48">
        <v>1</v>
      </c>
      <c r="G48">
        <v>24859158</v>
      </c>
      <c r="H48">
        <v>2</v>
      </c>
      <c r="I48" t="s">
        <v>294</v>
      </c>
      <c r="J48" t="s">
        <v>295</v>
      </c>
      <c r="K48" t="s">
        <v>296</v>
      </c>
      <c r="L48">
        <v>1367</v>
      </c>
      <c r="N48">
        <v>1011</v>
      </c>
      <c r="O48" t="s">
        <v>269</v>
      </c>
      <c r="P48" t="s">
        <v>269</v>
      </c>
      <c r="Q48">
        <v>1</v>
      </c>
      <c r="W48">
        <v>0</v>
      </c>
      <c r="X48">
        <v>366114799</v>
      </c>
      <c r="Y48">
        <v>0.65</v>
      </c>
      <c r="AA48">
        <v>0</v>
      </c>
      <c r="AB48">
        <v>246.68</v>
      </c>
      <c r="AC48">
        <v>13.37</v>
      </c>
      <c r="AD48">
        <v>0</v>
      </c>
      <c r="AE48">
        <v>0</v>
      </c>
      <c r="AF48">
        <v>246.68</v>
      </c>
      <c r="AG48">
        <v>13.37</v>
      </c>
      <c r="AH48">
        <v>0</v>
      </c>
      <c r="AI48">
        <v>1</v>
      </c>
      <c r="AJ48">
        <v>1</v>
      </c>
      <c r="AK48">
        <v>1</v>
      </c>
      <c r="AL48">
        <v>1</v>
      </c>
      <c r="AN48">
        <v>0</v>
      </c>
      <c r="AO48">
        <v>1</v>
      </c>
      <c r="AP48">
        <v>0</v>
      </c>
      <c r="AQ48">
        <v>0</v>
      </c>
      <c r="AR48">
        <v>0</v>
      </c>
      <c r="AS48" t="s">
        <v>3</v>
      </c>
      <c r="AT48">
        <v>0.65</v>
      </c>
      <c r="AU48" t="s">
        <v>3</v>
      </c>
      <c r="AV48">
        <v>0</v>
      </c>
      <c r="AW48">
        <v>2</v>
      </c>
      <c r="AX48">
        <v>45748395</v>
      </c>
      <c r="AY48">
        <v>1</v>
      </c>
      <c r="AZ48">
        <v>0</v>
      </c>
      <c r="BA48">
        <v>48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Y48*Source!I93</f>
        <v>2.3205000000000003E-2</v>
      </c>
      <c r="CY48">
        <f>AB48</f>
        <v>246.68</v>
      </c>
      <c r="CZ48">
        <f>AF48</f>
        <v>246.68</v>
      </c>
      <c r="DA48">
        <f>AJ48</f>
        <v>1</v>
      </c>
      <c r="DB48">
        <f t="shared" si="5"/>
        <v>160.34</v>
      </c>
      <c r="DC48">
        <f t="shared" si="6"/>
        <v>8.69</v>
      </c>
    </row>
    <row r="49" spans="1:107" x14ac:dyDescent="0.2">
      <c r="A49">
        <f>ROW(Source!A93)</f>
        <v>93</v>
      </c>
      <c r="B49">
        <v>45748053</v>
      </c>
      <c r="C49">
        <v>45748318</v>
      </c>
      <c r="D49">
        <v>24931840</v>
      </c>
      <c r="E49">
        <v>1</v>
      </c>
      <c r="F49">
        <v>1</v>
      </c>
      <c r="G49">
        <v>24859158</v>
      </c>
      <c r="H49">
        <v>2</v>
      </c>
      <c r="I49" t="s">
        <v>273</v>
      </c>
      <c r="J49" t="s">
        <v>274</v>
      </c>
      <c r="K49" t="s">
        <v>275</v>
      </c>
      <c r="L49">
        <v>1367</v>
      </c>
      <c r="N49">
        <v>1011</v>
      </c>
      <c r="O49" t="s">
        <v>269</v>
      </c>
      <c r="P49" t="s">
        <v>269</v>
      </c>
      <c r="Q49">
        <v>1</v>
      </c>
      <c r="W49">
        <v>0</v>
      </c>
      <c r="X49">
        <v>856318566</v>
      </c>
      <c r="Y49">
        <v>1.55</v>
      </c>
      <c r="AA49">
        <v>0</v>
      </c>
      <c r="AB49">
        <v>125.13</v>
      </c>
      <c r="AC49">
        <v>24.74</v>
      </c>
      <c r="AD49">
        <v>0</v>
      </c>
      <c r="AE49">
        <v>0</v>
      </c>
      <c r="AF49">
        <v>125.13</v>
      </c>
      <c r="AG49">
        <v>24.74</v>
      </c>
      <c r="AH49">
        <v>0</v>
      </c>
      <c r="AI49">
        <v>1</v>
      </c>
      <c r="AJ49">
        <v>1</v>
      </c>
      <c r="AK49">
        <v>1</v>
      </c>
      <c r="AL49">
        <v>1</v>
      </c>
      <c r="AN49">
        <v>0</v>
      </c>
      <c r="AO49">
        <v>1</v>
      </c>
      <c r="AP49">
        <v>0</v>
      </c>
      <c r="AQ49">
        <v>0</v>
      </c>
      <c r="AR49">
        <v>0</v>
      </c>
      <c r="AS49" t="s">
        <v>3</v>
      </c>
      <c r="AT49">
        <v>1.55</v>
      </c>
      <c r="AU49" t="s">
        <v>3</v>
      </c>
      <c r="AV49">
        <v>0</v>
      </c>
      <c r="AW49">
        <v>2</v>
      </c>
      <c r="AX49">
        <v>45748396</v>
      </c>
      <c r="AY49">
        <v>1</v>
      </c>
      <c r="AZ49">
        <v>0</v>
      </c>
      <c r="BA49">
        <v>49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Y49*Source!I93</f>
        <v>5.5335000000000002E-2</v>
      </c>
      <c r="CY49">
        <f>AB49</f>
        <v>125.13</v>
      </c>
      <c r="CZ49">
        <f>AF49</f>
        <v>125.13</v>
      </c>
      <c r="DA49">
        <f>AJ49</f>
        <v>1</v>
      </c>
      <c r="DB49">
        <f t="shared" si="5"/>
        <v>193.95</v>
      </c>
      <c r="DC49">
        <f t="shared" si="6"/>
        <v>38.35</v>
      </c>
    </row>
    <row r="50" spans="1:107" x14ac:dyDescent="0.2">
      <c r="A50">
        <f>ROW(Source!A93)</f>
        <v>93</v>
      </c>
      <c r="B50">
        <v>45748053</v>
      </c>
      <c r="C50">
        <v>45748318</v>
      </c>
      <c r="D50">
        <v>24931802</v>
      </c>
      <c r="E50">
        <v>1</v>
      </c>
      <c r="F50">
        <v>1</v>
      </c>
      <c r="G50">
        <v>24859158</v>
      </c>
      <c r="H50">
        <v>2</v>
      </c>
      <c r="I50" t="s">
        <v>297</v>
      </c>
      <c r="J50" t="s">
        <v>298</v>
      </c>
      <c r="K50" t="s">
        <v>299</v>
      </c>
      <c r="L50">
        <v>1367</v>
      </c>
      <c r="N50">
        <v>1011</v>
      </c>
      <c r="O50" t="s">
        <v>269</v>
      </c>
      <c r="P50" t="s">
        <v>269</v>
      </c>
      <c r="Q50">
        <v>1</v>
      </c>
      <c r="W50">
        <v>0</v>
      </c>
      <c r="X50">
        <v>-646811103</v>
      </c>
      <c r="Y50">
        <v>0.52</v>
      </c>
      <c r="AA50">
        <v>0</v>
      </c>
      <c r="AB50">
        <v>177.54</v>
      </c>
      <c r="AC50">
        <v>17.420000000000002</v>
      </c>
      <c r="AD50">
        <v>0</v>
      </c>
      <c r="AE50">
        <v>0</v>
      </c>
      <c r="AF50">
        <v>177.54</v>
      </c>
      <c r="AG50">
        <v>17.420000000000002</v>
      </c>
      <c r="AH50">
        <v>0</v>
      </c>
      <c r="AI50">
        <v>1</v>
      </c>
      <c r="AJ50">
        <v>1</v>
      </c>
      <c r="AK50">
        <v>1</v>
      </c>
      <c r="AL50">
        <v>1</v>
      </c>
      <c r="AN50">
        <v>0</v>
      </c>
      <c r="AO50">
        <v>1</v>
      </c>
      <c r="AP50">
        <v>0</v>
      </c>
      <c r="AQ50">
        <v>0</v>
      </c>
      <c r="AR50">
        <v>0</v>
      </c>
      <c r="AS50" t="s">
        <v>3</v>
      </c>
      <c r="AT50">
        <v>0.52</v>
      </c>
      <c r="AU50" t="s">
        <v>3</v>
      </c>
      <c r="AV50">
        <v>0</v>
      </c>
      <c r="AW50">
        <v>2</v>
      </c>
      <c r="AX50">
        <v>45748397</v>
      </c>
      <c r="AY50">
        <v>1</v>
      </c>
      <c r="AZ50">
        <v>0</v>
      </c>
      <c r="BA50">
        <v>50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Y50*Source!I93</f>
        <v>1.8564000000000001E-2</v>
      </c>
      <c r="CY50">
        <f>AB50</f>
        <v>177.54</v>
      </c>
      <c r="CZ50">
        <f>AF50</f>
        <v>177.54</v>
      </c>
      <c r="DA50">
        <f>AJ50</f>
        <v>1</v>
      </c>
      <c r="DB50">
        <f t="shared" si="5"/>
        <v>92.32</v>
      </c>
      <c r="DC50">
        <f t="shared" si="6"/>
        <v>9.06</v>
      </c>
    </row>
    <row r="51" spans="1:107" x14ac:dyDescent="0.2">
      <c r="A51">
        <f>ROW(Source!A93)</f>
        <v>93</v>
      </c>
      <c r="B51">
        <v>45748053</v>
      </c>
      <c r="C51">
        <v>45748318</v>
      </c>
      <c r="D51">
        <v>24907493</v>
      </c>
      <c r="E51">
        <v>1</v>
      </c>
      <c r="F51">
        <v>1</v>
      </c>
      <c r="G51">
        <v>24859158</v>
      </c>
      <c r="H51">
        <v>3</v>
      </c>
      <c r="I51" t="s">
        <v>300</v>
      </c>
      <c r="J51" t="s">
        <v>301</v>
      </c>
      <c r="K51" t="s">
        <v>302</v>
      </c>
      <c r="L51">
        <v>1339</v>
      </c>
      <c r="N51">
        <v>1007</v>
      </c>
      <c r="O51" t="s">
        <v>150</v>
      </c>
      <c r="P51" t="s">
        <v>150</v>
      </c>
      <c r="Q51">
        <v>1</v>
      </c>
      <c r="W51">
        <v>0</v>
      </c>
      <c r="X51">
        <v>-862991314</v>
      </c>
      <c r="Y51">
        <v>5</v>
      </c>
      <c r="AA51">
        <v>7.07</v>
      </c>
      <c r="AB51">
        <v>0</v>
      </c>
      <c r="AC51">
        <v>0</v>
      </c>
      <c r="AD51">
        <v>0</v>
      </c>
      <c r="AE51">
        <v>7.07</v>
      </c>
      <c r="AF51">
        <v>0</v>
      </c>
      <c r="AG51">
        <v>0</v>
      </c>
      <c r="AH51">
        <v>0</v>
      </c>
      <c r="AI51">
        <v>1</v>
      </c>
      <c r="AJ51">
        <v>1</v>
      </c>
      <c r="AK51">
        <v>1</v>
      </c>
      <c r="AL51">
        <v>1</v>
      </c>
      <c r="AN51">
        <v>0</v>
      </c>
      <c r="AO51">
        <v>1</v>
      </c>
      <c r="AP51">
        <v>0</v>
      </c>
      <c r="AQ51">
        <v>0</v>
      </c>
      <c r="AR51">
        <v>0</v>
      </c>
      <c r="AS51" t="s">
        <v>3</v>
      </c>
      <c r="AT51">
        <v>5</v>
      </c>
      <c r="AU51" t="s">
        <v>3</v>
      </c>
      <c r="AV51">
        <v>0</v>
      </c>
      <c r="AW51">
        <v>2</v>
      </c>
      <c r="AX51">
        <v>45748398</v>
      </c>
      <c r="AY51">
        <v>1</v>
      </c>
      <c r="AZ51">
        <v>0</v>
      </c>
      <c r="BA51">
        <v>51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Y51*Source!I93</f>
        <v>0.17850000000000002</v>
      </c>
      <c r="CY51">
        <f>AA51</f>
        <v>7.07</v>
      </c>
      <c r="CZ51">
        <f>AE51</f>
        <v>7.07</v>
      </c>
      <c r="DA51">
        <f>AI51</f>
        <v>1</v>
      </c>
      <c r="DB51">
        <f t="shared" si="5"/>
        <v>35.35</v>
      </c>
      <c r="DC51">
        <f t="shared" si="6"/>
        <v>0</v>
      </c>
    </row>
    <row r="52" spans="1:107" x14ac:dyDescent="0.2">
      <c r="A52">
        <f>ROW(Source!A93)</f>
        <v>93</v>
      </c>
      <c r="B52">
        <v>45748053</v>
      </c>
      <c r="C52">
        <v>45748318</v>
      </c>
      <c r="D52">
        <v>24908052</v>
      </c>
      <c r="E52">
        <v>1</v>
      </c>
      <c r="F52">
        <v>1</v>
      </c>
      <c r="G52">
        <v>24859158</v>
      </c>
      <c r="H52">
        <v>3</v>
      </c>
      <c r="I52" t="s">
        <v>148</v>
      </c>
      <c r="J52" t="s">
        <v>151</v>
      </c>
      <c r="K52" t="s">
        <v>149</v>
      </c>
      <c r="L52">
        <v>1339</v>
      </c>
      <c r="N52">
        <v>1007</v>
      </c>
      <c r="O52" t="s">
        <v>150</v>
      </c>
      <c r="P52" t="s">
        <v>150</v>
      </c>
      <c r="Q52">
        <v>1</v>
      </c>
      <c r="W52">
        <v>0</v>
      </c>
      <c r="X52">
        <v>2069056849</v>
      </c>
      <c r="Y52">
        <v>110</v>
      </c>
      <c r="AA52">
        <v>104.99</v>
      </c>
      <c r="AB52">
        <v>0</v>
      </c>
      <c r="AC52">
        <v>0</v>
      </c>
      <c r="AD52">
        <v>0</v>
      </c>
      <c r="AE52">
        <v>104.99</v>
      </c>
      <c r="AF52">
        <v>0</v>
      </c>
      <c r="AG52">
        <v>0</v>
      </c>
      <c r="AH52">
        <v>0</v>
      </c>
      <c r="AI52">
        <v>1</v>
      </c>
      <c r="AJ52">
        <v>1</v>
      </c>
      <c r="AK52">
        <v>1</v>
      </c>
      <c r="AL52">
        <v>1</v>
      </c>
      <c r="AN52">
        <v>0</v>
      </c>
      <c r="AO52">
        <v>0</v>
      </c>
      <c r="AP52">
        <v>0</v>
      </c>
      <c r="AQ52">
        <v>0</v>
      </c>
      <c r="AR52">
        <v>0</v>
      </c>
      <c r="AS52" t="s">
        <v>3</v>
      </c>
      <c r="AT52">
        <v>110</v>
      </c>
      <c r="AU52" t="s">
        <v>3</v>
      </c>
      <c r="AV52">
        <v>0</v>
      </c>
      <c r="AW52">
        <v>1</v>
      </c>
      <c r="AX52">
        <v>-1</v>
      </c>
      <c r="AY52">
        <v>0</v>
      </c>
      <c r="AZ52">
        <v>0</v>
      </c>
      <c r="BA52" t="s">
        <v>3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Y52*Source!I93</f>
        <v>3.9270000000000005</v>
      </c>
      <c r="CY52">
        <f>AA52</f>
        <v>104.99</v>
      </c>
      <c r="CZ52">
        <f>AE52</f>
        <v>104.99</v>
      </c>
      <c r="DA52">
        <f>AI52</f>
        <v>1</v>
      </c>
      <c r="DB52">
        <f t="shared" si="5"/>
        <v>11548.9</v>
      </c>
      <c r="DC52">
        <f t="shared" si="6"/>
        <v>0</v>
      </c>
    </row>
    <row r="53" spans="1:107" x14ac:dyDescent="0.2">
      <c r="A53">
        <f>ROW(Source!A94)</f>
        <v>94</v>
      </c>
      <c r="B53">
        <v>45747932</v>
      </c>
      <c r="C53">
        <v>45748318</v>
      </c>
      <c r="D53">
        <v>24859163</v>
      </c>
      <c r="E53">
        <v>24859158</v>
      </c>
      <c r="F53">
        <v>1</v>
      </c>
      <c r="G53">
        <v>24859158</v>
      </c>
      <c r="H53">
        <v>1</v>
      </c>
      <c r="I53" t="s">
        <v>263</v>
      </c>
      <c r="J53" t="s">
        <v>3</v>
      </c>
      <c r="K53" t="s">
        <v>264</v>
      </c>
      <c r="L53">
        <v>1191</v>
      </c>
      <c r="N53">
        <v>1013</v>
      </c>
      <c r="O53" t="s">
        <v>265</v>
      </c>
      <c r="P53" t="s">
        <v>265</v>
      </c>
      <c r="Q53">
        <v>1</v>
      </c>
      <c r="W53">
        <v>0</v>
      </c>
      <c r="X53">
        <v>476480486</v>
      </c>
      <c r="Y53">
        <v>14.4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1</v>
      </c>
      <c r="AJ53">
        <v>1</v>
      </c>
      <c r="AK53">
        <v>1</v>
      </c>
      <c r="AL53">
        <v>1</v>
      </c>
      <c r="AN53">
        <v>0</v>
      </c>
      <c r="AO53">
        <v>1</v>
      </c>
      <c r="AP53">
        <v>0</v>
      </c>
      <c r="AQ53">
        <v>0</v>
      </c>
      <c r="AR53">
        <v>0</v>
      </c>
      <c r="AS53" t="s">
        <v>3</v>
      </c>
      <c r="AT53">
        <v>14.4</v>
      </c>
      <c r="AU53" t="s">
        <v>3</v>
      </c>
      <c r="AV53">
        <v>1</v>
      </c>
      <c r="AW53">
        <v>2</v>
      </c>
      <c r="AX53">
        <v>45748392</v>
      </c>
      <c r="AY53">
        <v>1</v>
      </c>
      <c r="AZ53">
        <v>0</v>
      </c>
      <c r="BA53">
        <v>53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Y53*Source!I94</f>
        <v>0.51408000000000009</v>
      </c>
      <c r="CY53">
        <f>AD53</f>
        <v>0</v>
      </c>
      <c r="CZ53">
        <f>AH53</f>
        <v>0</v>
      </c>
      <c r="DA53">
        <f>AL53</f>
        <v>1</v>
      </c>
      <c r="DB53">
        <f t="shared" si="5"/>
        <v>0</v>
      </c>
      <c r="DC53">
        <f t="shared" si="6"/>
        <v>0</v>
      </c>
    </row>
    <row r="54" spans="1:107" x14ac:dyDescent="0.2">
      <c r="A54">
        <f>ROW(Source!A94)</f>
        <v>94</v>
      </c>
      <c r="B54">
        <v>45747932</v>
      </c>
      <c r="C54">
        <v>45748318</v>
      </c>
      <c r="D54">
        <v>24931586</v>
      </c>
      <c r="E54">
        <v>1</v>
      </c>
      <c r="F54">
        <v>1</v>
      </c>
      <c r="G54">
        <v>24859158</v>
      </c>
      <c r="H54">
        <v>2</v>
      </c>
      <c r="I54" t="s">
        <v>288</v>
      </c>
      <c r="J54" t="s">
        <v>289</v>
      </c>
      <c r="K54" t="s">
        <v>290</v>
      </c>
      <c r="L54">
        <v>1367</v>
      </c>
      <c r="N54">
        <v>1011</v>
      </c>
      <c r="O54" t="s">
        <v>269</v>
      </c>
      <c r="P54" t="s">
        <v>269</v>
      </c>
      <c r="Q54">
        <v>1</v>
      </c>
      <c r="W54">
        <v>0</v>
      </c>
      <c r="X54">
        <v>1928543733</v>
      </c>
      <c r="Y54">
        <v>1.66</v>
      </c>
      <c r="AA54">
        <v>0</v>
      </c>
      <c r="AB54">
        <v>1287.48</v>
      </c>
      <c r="AC54">
        <v>615.94000000000005</v>
      </c>
      <c r="AD54">
        <v>0</v>
      </c>
      <c r="AE54">
        <v>0</v>
      </c>
      <c r="AF54">
        <v>116.89</v>
      </c>
      <c r="AG54">
        <v>23.41</v>
      </c>
      <c r="AH54">
        <v>0</v>
      </c>
      <c r="AI54">
        <v>1</v>
      </c>
      <c r="AJ54">
        <v>10.52</v>
      </c>
      <c r="AK54">
        <v>25.13</v>
      </c>
      <c r="AL54">
        <v>1</v>
      </c>
      <c r="AN54">
        <v>0</v>
      </c>
      <c r="AO54">
        <v>1</v>
      </c>
      <c r="AP54">
        <v>0</v>
      </c>
      <c r="AQ54">
        <v>0</v>
      </c>
      <c r="AR54">
        <v>0</v>
      </c>
      <c r="AS54" t="s">
        <v>3</v>
      </c>
      <c r="AT54">
        <v>1.66</v>
      </c>
      <c r="AU54" t="s">
        <v>3</v>
      </c>
      <c r="AV54">
        <v>0</v>
      </c>
      <c r="AW54">
        <v>2</v>
      </c>
      <c r="AX54">
        <v>45748393</v>
      </c>
      <c r="AY54">
        <v>1</v>
      </c>
      <c r="AZ54">
        <v>0</v>
      </c>
      <c r="BA54">
        <v>54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Y54*Source!I94</f>
        <v>5.9262000000000002E-2</v>
      </c>
      <c r="CY54">
        <f>AB54</f>
        <v>1287.48</v>
      </c>
      <c r="CZ54">
        <f>AF54</f>
        <v>116.89</v>
      </c>
      <c r="DA54">
        <f>AJ54</f>
        <v>10.52</v>
      </c>
      <c r="DB54">
        <f t="shared" si="5"/>
        <v>194.04</v>
      </c>
      <c r="DC54">
        <f t="shared" si="6"/>
        <v>38.86</v>
      </c>
    </row>
    <row r="55" spans="1:107" x14ac:dyDescent="0.2">
      <c r="A55">
        <f>ROW(Source!A94)</f>
        <v>94</v>
      </c>
      <c r="B55">
        <v>45747932</v>
      </c>
      <c r="C55">
        <v>45748318</v>
      </c>
      <c r="D55">
        <v>24931809</v>
      </c>
      <c r="E55">
        <v>1</v>
      </c>
      <c r="F55">
        <v>1</v>
      </c>
      <c r="G55">
        <v>24859158</v>
      </c>
      <c r="H55">
        <v>2</v>
      </c>
      <c r="I55" t="s">
        <v>291</v>
      </c>
      <c r="J55" t="s">
        <v>292</v>
      </c>
      <c r="K55" t="s">
        <v>293</v>
      </c>
      <c r="L55">
        <v>1367</v>
      </c>
      <c r="N55">
        <v>1011</v>
      </c>
      <c r="O55" t="s">
        <v>269</v>
      </c>
      <c r="P55" t="s">
        <v>269</v>
      </c>
      <c r="Q55">
        <v>1</v>
      </c>
      <c r="W55">
        <v>0</v>
      </c>
      <c r="X55">
        <v>142191915</v>
      </c>
      <c r="Y55">
        <v>1.66</v>
      </c>
      <c r="AA55">
        <v>0</v>
      </c>
      <c r="AB55">
        <v>449.64</v>
      </c>
      <c r="AC55">
        <v>174.71</v>
      </c>
      <c r="AD55">
        <v>0</v>
      </c>
      <c r="AE55">
        <v>0</v>
      </c>
      <c r="AF55">
        <v>62.97</v>
      </c>
      <c r="AG55">
        <v>6.64</v>
      </c>
      <c r="AH55">
        <v>0</v>
      </c>
      <c r="AI55">
        <v>1</v>
      </c>
      <c r="AJ55">
        <v>6.82</v>
      </c>
      <c r="AK55">
        <v>25.13</v>
      </c>
      <c r="AL55">
        <v>1</v>
      </c>
      <c r="AN55">
        <v>0</v>
      </c>
      <c r="AO55">
        <v>1</v>
      </c>
      <c r="AP55">
        <v>0</v>
      </c>
      <c r="AQ55">
        <v>0</v>
      </c>
      <c r="AR55">
        <v>0</v>
      </c>
      <c r="AS55" t="s">
        <v>3</v>
      </c>
      <c r="AT55">
        <v>1.66</v>
      </c>
      <c r="AU55" t="s">
        <v>3</v>
      </c>
      <c r="AV55">
        <v>0</v>
      </c>
      <c r="AW55">
        <v>2</v>
      </c>
      <c r="AX55">
        <v>45748394</v>
      </c>
      <c r="AY55">
        <v>1</v>
      </c>
      <c r="AZ55">
        <v>0</v>
      </c>
      <c r="BA55">
        <v>55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Y55*Source!I94</f>
        <v>5.9262000000000002E-2</v>
      </c>
      <c r="CY55">
        <f>AB55</f>
        <v>449.64</v>
      </c>
      <c r="CZ55">
        <f>AF55</f>
        <v>62.97</v>
      </c>
      <c r="DA55">
        <f>AJ55</f>
        <v>6.82</v>
      </c>
      <c r="DB55">
        <f t="shared" si="5"/>
        <v>104.53</v>
      </c>
      <c r="DC55">
        <f t="shared" si="6"/>
        <v>11.02</v>
      </c>
    </row>
    <row r="56" spans="1:107" x14ac:dyDescent="0.2">
      <c r="A56">
        <f>ROW(Source!A94)</f>
        <v>94</v>
      </c>
      <c r="B56">
        <v>45747932</v>
      </c>
      <c r="C56">
        <v>45748318</v>
      </c>
      <c r="D56">
        <v>24931812</v>
      </c>
      <c r="E56">
        <v>1</v>
      </c>
      <c r="F56">
        <v>1</v>
      </c>
      <c r="G56">
        <v>24859158</v>
      </c>
      <c r="H56">
        <v>2</v>
      </c>
      <c r="I56" t="s">
        <v>294</v>
      </c>
      <c r="J56" t="s">
        <v>295</v>
      </c>
      <c r="K56" t="s">
        <v>296</v>
      </c>
      <c r="L56">
        <v>1367</v>
      </c>
      <c r="N56">
        <v>1011</v>
      </c>
      <c r="O56" t="s">
        <v>269</v>
      </c>
      <c r="P56" t="s">
        <v>269</v>
      </c>
      <c r="Q56">
        <v>1</v>
      </c>
      <c r="W56">
        <v>0</v>
      </c>
      <c r="X56">
        <v>366114799</v>
      </c>
      <c r="Y56">
        <v>0.65</v>
      </c>
      <c r="AA56">
        <v>0</v>
      </c>
      <c r="AB56">
        <v>2084.27</v>
      </c>
      <c r="AC56">
        <v>351.78</v>
      </c>
      <c r="AD56">
        <v>0</v>
      </c>
      <c r="AE56">
        <v>0</v>
      </c>
      <c r="AF56">
        <v>246.68</v>
      </c>
      <c r="AG56">
        <v>13.37</v>
      </c>
      <c r="AH56">
        <v>0</v>
      </c>
      <c r="AI56">
        <v>1</v>
      </c>
      <c r="AJ56">
        <v>8.07</v>
      </c>
      <c r="AK56">
        <v>25.13</v>
      </c>
      <c r="AL56">
        <v>1</v>
      </c>
      <c r="AN56">
        <v>0</v>
      </c>
      <c r="AO56">
        <v>1</v>
      </c>
      <c r="AP56">
        <v>0</v>
      </c>
      <c r="AQ56">
        <v>0</v>
      </c>
      <c r="AR56">
        <v>0</v>
      </c>
      <c r="AS56" t="s">
        <v>3</v>
      </c>
      <c r="AT56">
        <v>0.65</v>
      </c>
      <c r="AU56" t="s">
        <v>3</v>
      </c>
      <c r="AV56">
        <v>0</v>
      </c>
      <c r="AW56">
        <v>2</v>
      </c>
      <c r="AX56">
        <v>45748395</v>
      </c>
      <c r="AY56">
        <v>1</v>
      </c>
      <c r="AZ56">
        <v>0</v>
      </c>
      <c r="BA56">
        <v>56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Y56*Source!I94</f>
        <v>2.3205000000000003E-2</v>
      </c>
      <c r="CY56">
        <f>AB56</f>
        <v>2084.27</v>
      </c>
      <c r="CZ56">
        <f>AF56</f>
        <v>246.68</v>
      </c>
      <c r="DA56">
        <f>AJ56</f>
        <v>8.07</v>
      </c>
      <c r="DB56">
        <f t="shared" si="5"/>
        <v>160.34</v>
      </c>
      <c r="DC56">
        <f t="shared" si="6"/>
        <v>8.69</v>
      </c>
    </row>
    <row r="57" spans="1:107" x14ac:dyDescent="0.2">
      <c r="A57">
        <f>ROW(Source!A94)</f>
        <v>94</v>
      </c>
      <c r="B57">
        <v>45747932</v>
      </c>
      <c r="C57">
        <v>45748318</v>
      </c>
      <c r="D57">
        <v>24931840</v>
      </c>
      <c r="E57">
        <v>1</v>
      </c>
      <c r="F57">
        <v>1</v>
      </c>
      <c r="G57">
        <v>24859158</v>
      </c>
      <c r="H57">
        <v>2</v>
      </c>
      <c r="I57" t="s">
        <v>273</v>
      </c>
      <c r="J57" t="s">
        <v>274</v>
      </c>
      <c r="K57" t="s">
        <v>275</v>
      </c>
      <c r="L57">
        <v>1367</v>
      </c>
      <c r="N57">
        <v>1011</v>
      </c>
      <c r="O57" t="s">
        <v>269</v>
      </c>
      <c r="P57" t="s">
        <v>269</v>
      </c>
      <c r="Q57">
        <v>1</v>
      </c>
      <c r="W57">
        <v>0</v>
      </c>
      <c r="X57">
        <v>856318566</v>
      </c>
      <c r="Y57">
        <v>1.55</v>
      </c>
      <c r="AA57">
        <v>0</v>
      </c>
      <c r="AB57">
        <v>1574.75</v>
      </c>
      <c r="AC57">
        <v>650.94000000000005</v>
      </c>
      <c r="AD57">
        <v>0</v>
      </c>
      <c r="AE57">
        <v>0</v>
      </c>
      <c r="AF57">
        <v>125.13</v>
      </c>
      <c r="AG57">
        <v>24.74</v>
      </c>
      <c r="AH57">
        <v>0</v>
      </c>
      <c r="AI57">
        <v>1</v>
      </c>
      <c r="AJ57">
        <v>12.02</v>
      </c>
      <c r="AK57">
        <v>25.13</v>
      </c>
      <c r="AL57">
        <v>1</v>
      </c>
      <c r="AN57">
        <v>0</v>
      </c>
      <c r="AO57">
        <v>1</v>
      </c>
      <c r="AP57">
        <v>0</v>
      </c>
      <c r="AQ57">
        <v>0</v>
      </c>
      <c r="AR57">
        <v>0</v>
      </c>
      <c r="AS57" t="s">
        <v>3</v>
      </c>
      <c r="AT57">
        <v>1.55</v>
      </c>
      <c r="AU57" t="s">
        <v>3</v>
      </c>
      <c r="AV57">
        <v>0</v>
      </c>
      <c r="AW57">
        <v>2</v>
      </c>
      <c r="AX57">
        <v>45748396</v>
      </c>
      <c r="AY57">
        <v>1</v>
      </c>
      <c r="AZ57">
        <v>0</v>
      </c>
      <c r="BA57">
        <v>57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Y57*Source!I94</f>
        <v>5.5335000000000002E-2</v>
      </c>
      <c r="CY57">
        <f>AB57</f>
        <v>1574.75</v>
      </c>
      <c r="CZ57">
        <f>AF57</f>
        <v>125.13</v>
      </c>
      <c r="DA57">
        <f>AJ57</f>
        <v>12.02</v>
      </c>
      <c r="DB57">
        <f t="shared" si="5"/>
        <v>193.95</v>
      </c>
      <c r="DC57">
        <f t="shared" si="6"/>
        <v>38.35</v>
      </c>
    </row>
    <row r="58" spans="1:107" x14ac:dyDescent="0.2">
      <c r="A58">
        <f>ROW(Source!A94)</f>
        <v>94</v>
      </c>
      <c r="B58">
        <v>45747932</v>
      </c>
      <c r="C58">
        <v>45748318</v>
      </c>
      <c r="D58">
        <v>24931802</v>
      </c>
      <c r="E58">
        <v>1</v>
      </c>
      <c r="F58">
        <v>1</v>
      </c>
      <c r="G58">
        <v>24859158</v>
      </c>
      <c r="H58">
        <v>2</v>
      </c>
      <c r="I58" t="s">
        <v>297</v>
      </c>
      <c r="J58" t="s">
        <v>298</v>
      </c>
      <c r="K58" t="s">
        <v>299</v>
      </c>
      <c r="L58">
        <v>1367</v>
      </c>
      <c r="N58">
        <v>1011</v>
      </c>
      <c r="O58" t="s">
        <v>269</v>
      </c>
      <c r="P58" t="s">
        <v>269</v>
      </c>
      <c r="Q58">
        <v>1</v>
      </c>
      <c r="W58">
        <v>0</v>
      </c>
      <c r="X58">
        <v>-646811103</v>
      </c>
      <c r="Y58">
        <v>0.52</v>
      </c>
      <c r="AA58">
        <v>0</v>
      </c>
      <c r="AB58">
        <v>1620.91</v>
      </c>
      <c r="AC58">
        <v>458.34</v>
      </c>
      <c r="AD58">
        <v>0</v>
      </c>
      <c r="AE58">
        <v>0</v>
      </c>
      <c r="AF58">
        <v>177.54</v>
      </c>
      <c r="AG58">
        <v>17.420000000000002</v>
      </c>
      <c r="AH58">
        <v>0</v>
      </c>
      <c r="AI58">
        <v>1</v>
      </c>
      <c r="AJ58">
        <v>8.7200000000000006</v>
      </c>
      <c r="AK58">
        <v>25.13</v>
      </c>
      <c r="AL58">
        <v>1</v>
      </c>
      <c r="AN58">
        <v>0</v>
      </c>
      <c r="AO58">
        <v>1</v>
      </c>
      <c r="AP58">
        <v>0</v>
      </c>
      <c r="AQ58">
        <v>0</v>
      </c>
      <c r="AR58">
        <v>0</v>
      </c>
      <c r="AS58" t="s">
        <v>3</v>
      </c>
      <c r="AT58">
        <v>0.52</v>
      </c>
      <c r="AU58" t="s">
        <v>3</v>
      </c>
      <c r="AV58">
        <v>0</v>
      </c>
      <c r="AW58">
        <v>2</v>
      </c>
      <c r="AX58">
        <v>45748397</v>
      </c>
      <c r="AY58">
        <v>1</v>
      </c>
      <c r="AZ58">
        <v>0</v>
      </c>
      <c r="BA58">
        <v>58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Y58*Source!I94</f>
        <v>1.8564000000000001E-2</v>
      </c>
      <c r="CY58">
        <f>AB58</f>
        <v>1620.91</v>
      </c>
      <c r="CZ58">
        <f>AF58</f>
        <v>177.54</v>
      </c>
      <c r="DA58">
        <f>AJ58</f>
        <v>8.7200000000000006</v>
      </c>
      <c r="DB58">
        <f t="shared" si="5"/>
        <v>92.32</v>
      </c>
      <c r="DC58">
        <f t="shared" si="6"/>
        <v>9.06</v>
      </c>
    </row>
    <row r="59" spans="1:107" x14ac:dyDescent="0.2">
      <c r="A59">
        <f>ROW(Source!A94)</f>
        <v>94</v>
      </c>
      <c r="B59">
        <v>45747932</v>
      </c>
      <c r="C59">
        <v>45748318</v>
      </c>
      <c r="D59">
        <v>24907493</v>
      </c>
      <c r="E59">
        <v>1</v>
      </c>
      <c r="F59">
        <v>1</v>
      </c>
      <c r="G59">
        <v>24859158</v>
      </c>
      <c r="H59">
        <v>3</v>
      </c>
      <c r="I59" t="s">
        <v>300</v>
      </c>
      <c r="J59" t="s">
        <v>301</v>
      </c>
      <c r="K59" t="s">
        <v>302</v>
      </c>
      <c r="L59">
        <v>1339</v>
      </c>
      <c r="N59">
        <v>1007</v>
      </c>
      <c r="O59" t="s">
        <v>150</v>
      </c>
      <c r="P59" t="s">
        <v>150</v>
      </c>
      <c r="Q59">
        <v>1</v>
      </c>
      <c r="W59">
        <v>0</v>
      </c>
      <c r="X59">
        <v>-862991314</v>
      </c>
      <c r="Y59">
        <v>5</v>
      </c>
      <c r="AA59">
        <v>35.35</v>
      </c>
      <c r="AB59">
        <v>0</v>
      </c>
      <c r="AC59">
        <v>0</v>
      </c>
      <c r="AD59">
        <v>0</v>
      </c>
      <c r="AE59">
        <v>7.07</v>
      </c>
      <c r="AF59">
        <v>0</v>
      </c>
      <c r="AG59">
        <v>0</v>
      </c>
      <c r="AH59">
        <v>0</v>
      </c>
      <c r="AI59">
        <v>4.99</v>
      </c>
      <c r="AJ59">
        <v>1</v>
      </c>
      <c r="AK59">
        <v>1</v>
      </c>
      <c r="AL59">
        <v>1</v>
      </c>
      <c r="AN59">
        <v>0</v>
      </c>
      <c r="AO59">
        <v>1</v>
      </c>
      <c r="AP59">
        <v>0</v>
      </c>
      <c r="AQ59">
        <v>0</v>
      </c>
      <c r="AR59">
        <v>0</v>
      </c>
      <c r="AS59" t="s">
        <v>3</v>
      </c>
      <c r="AT59">
        <v>5</v>
      </c>
      <c r="AU59" t="s">
        <v>3</v>
      </c>
      <c r="AV59">
        <v>0</v>
      </c>
      <c r="AW59">
        <v>2</v>
      </c>
      <c r="AX59">
        <v>45748398</v>
      </c>
      <c r="AY59">
        <v>1</v>
      </c>
      <c r="AZ59">
        <v>0</v>
      </c>
      <c r="BA59">
        <v>59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Y59*Source!I94</f>
        <v>0.17850000000000002</v>
      </c>
      <c r="CY59">
        <f>AA59</f>
        <v>35.35</v>
      </c>
      <c r="CZ59">
        <f>AE59</f>
        <v>7.07</v>
      </c>
      <c r="DA59">
        <f>AI59</f>
        <v>4.99</v>
      </c>
      <c r="DB59">
        <f t="shared" si="5"/>
        <v>35.35</v>
      </c>
      <c r="DC59">
        <f t="shared" si="6"/>
        <v>0</v>
      </c>
    </row>
    <row r="60" spans="1:107" x14ac:dyDescent="0.2">
      <c r="A60">
        <f>ROW(Source!A94)</f>
        <v>94</v>
      </c>
      <c r="B60">
        <v>45747932</v>
      </c>
      <c r="C60">
        <v>45748318</v>
      </c>
      <c r="D60">
        <v>24908052</v>
      </c>
      <c r="E60">
        <v>1</v>
      </c>
      <c r="F60">
        <v>1</v>
      </c>
      <c r="G60">
        <v>24859158</v>
      </c>
      <c r="H60">
        <v>3</v>
      </c>
      <c r="I60" t="s">
        <v>148</v>
      </c>
      <c r="J60" t="s">
        <v>151</v>
      </c>
      <c r="K60" t="s">
        <v>149</v>
      </c>
      <c r="L60">
        <v>1339</v>
      </c>
      <c r="N60">
        <v>1007</v>
      </c>
      <c r="O60" t="s">
        <v>150</v>
      </c>
      <c r="P60" t="s">
        <v>150</v>
      </c>
      <c r="Q60">
        <v>1</v>
      </c>
      <c r="W60">
        <v>0</v>
      </c>
      <c r="X60">
        <v>2069056849</v>
      </c>
      <c r="Y60">
        <v>110</v>
      </c>
      <c r="AA60">
        <v>553.35</v>
      </c>
      <c r="AB60">
        <v>0</v>
      </c>
      <c r="AC60">
        <v>0</v>
      </c>
      <c r="AD60">
        <v>0</v>
      </c>
      <c r="AE60">
        <v>104.99</v>
      </c>
      <c r="AF60">
        <v>0</v>
      </c>
      <c r="AG60">
        <v>0</v>
      </c>
      <c r="AH60">
        <v>0</v>
      </c>
      <c r="AI60">
        <v>5.26</v>
      </c>
      <c r="AJ60">
        <v>1</v>
      </c>
      <c r="AK60">
        <v>1</v>
      </c>
      <c r="AL60">
        <v>1</v>
      </c>
      <c r="AN60">
        <v>0</v>
      </c>
      <c r="AO60">
        <v>0</v>
      </c>
      <c r="AP60">
        <v>0</v>
      </c>
      <c r="AQ60">
        <v>0</v>
      </c>
      <c r="AR60">
        <v>0</v>
      </c>
      <c r="AS60" t="s">
        <v>3</v>
      </c>
      <c r="AT60">
        <v>110</v>
      </c>
      <c r="AU60" t="s">
        <v>3</v>
      </c>
      <c r="AV60">
        <v>0</v>
      </c>
      <c r="AW60">
        <v>1</v>
      </c>
      <c r="AX60">
        <v>-1</v>
      </c>
      <c r="AY60">
        <v>0</v>
      </c>
      <c r="AZ60">
        <v>0</v>
      </c>
      <c r="BA60" t="s">
        <v>3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Y60*Source!I94</f>
        <v>3.9270000000000005</v>
      </c>
      <c r="CY60">
        <f>AA60</f>
        <v>553.35</v>
      </c>
      <c r="CZ60">
        <f>AE60</f>
        <v>104.99</v>
      </c>
      <c r="DA60">
        <f>AI60</f>
        <v>5.26</v>
      </c>
      <c r="DB60">
        <f t="shared" si="5"/>
        <v>11548.9</v>
      </c>
      <c r="DC60">
        <f t="shared" si="6"/>
        <v>0</v>
      </c>
    </row>
    <row r="61" spans="1:107" x14ac:dyDescent="0.2">
      <c r="A61">
        <f>ROW(Source!A97)</f>
        <v>97</v>
      </c>
      <c r="B61">
        <v>45748053</v>
      </c>
      <c r="C61">
        <v>45748336</v>
      </c>
      <c r="D61">
        <v>24859163</v>
      </c>
      <c r="E61">
        <v>24859158</v>
      </c>
      <c r="F61">
        <v>1</v>
      </c>
      <c r="G61">
        <v>24859158</v>
      </c>
      <c r="H61">
        <v>1</v>
      </c>
      <c r="I61" t="s">
        <v>263</v>
      </c>
      <c r="J61" t="s">
        <v>3</v>
      </c>
      <c r="K61" t="s">
        <v>264</v>
      </c>
      <c r="L61">
        <v>1191</v>
      </c>
      <c r="N61">
        <v>1013</v>
      </c>
      <c r="O61" t="s">
        <v>265</v>
      </c>
      <c r="P61" t="s">
        <v>265</v>
      </c>
      <c r="Q61">
        <v>1</v>
      </c>
      <c r="W61">
        <v>0</v>
      </c>
      <c r="X61">
        <v>476480486</v>
      </c>
      <c r="Y61">
        <v>100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1</v>
      </c>
      <c r="AJ61">
        <v>1</v>
      </c>
      <c r="AK61">
        <v>1</v>
      </c>
      <c r="AL61">
        <v>1</v>
      </c>
      <c r="AN61">
        <v>0</v>
      </c>
      <c r="AO61">
        <v>1</v>
      </c>
      <c r="AP61">
        <v>0</v>
      </c>
      <c r="AQ61">
        <v>0</v>
      </c>
      <c r="AR61">
        <v>0</v>
      </c>
      <c r="AS61" t="s">
        <v>3</v>
      </c>
      <c r="AT61">
        <v>100</v>
      </c>
      <c r="AU61" t="s">
        <v>3</v>
      </c>
      <c r="AV61">
        <v>1</v>
      </c>
      <c r="AW61">
        <v>2</v>
      </c>
      <c r="AX61">
        <v>45748343</v>
      </c>
      <c r="AY61">
        <v>1</v>
      </c>
      <c r="AZ61">
        <v>0</v>
      </c>
      <c r="BA61">
        <v>61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Y61*Source!I97</f>
        <v>102</v>
      </c>
      <c r="CY61">
        <f>AD61</f>
        <v>0</v>
      </c>
      <c r="CZ61">
        <f>AH61</f>
        <v>0</v>
      </c>
      <c r="DA61">
        <f>AL61</f>
        <v>1</v>
      </c>
      <c r="DB61">
        <f t="shared" si="5"/>
        <v>0</v>
      </c>
      <c r="DC61">
        <f t="shared" si="6"/>
        <v>0</v>
      </c>
    </row>
    <row r="62" spans="1:107" x14ac:dyDescent="0.2">
      <c r="A62">
        <f>ROW(Source!A97)</f>
        <v>97</v>
      </c>
      <c r="B62">
        <v>45748053</v>
      </c>
      <c r="C62">
        <v>45748336</v>
      </c>
      <c r="D62">
        <v>24931633</v>
      </c>
      <c r="E62">
        <v>1</v>
      </c>
      <c r="F62">
        <v>1</v>
      </c>
      <c r="G62">
        <v>24859158</v>
      </c>
      <c r="H62">
        <v>2</v>
      </c>
      <c r="I62" t="s">
        <v>303</v>
      </c>
      <c r="J62" t="s">
        <v>304</v>
      </c>
      <c r="K62" t="s">
        <v>305</v>
      </c>
      <c r="L62">
        <v>1367</v>
      </c>
      <c r="N62">
        <v>1011</v>
      </c>
      <c r="O62" t="s">
        <v>269</v>
      </c>
      <c r="P62" t="s">
        <v>269</v>
      </c>
      <c r="Q62">
        <v>1</v>
      </c>
      <c r="W62">
        <v>0</v>
      </c>
      <c r="X62">
        <v>-266174272</v>
      </c>
      <c r="Y62">
        <v>0.61</v>
      </c>
      <c r="AA62">
        <v>0</v>
      </c>
      <c r="AB62">
        <v>190.93</v>
      </c>
      <c r="AC62">
        <v>18.149999999999999</v>
      </c>
      <c r="AD62">
        <v>0</v>
      </c>
      <c r="AE62">
        <v>0</v>
      </c>
      <c r="AF62">
        <v>190.93</v>
      </c>
      <c r="AG62">
        <v>18.149999999999999</v>
      </c>
      <c r="AH62">
        <v>0</v>
      </c>
      <c r="AI62">
        <v>1</v>
      </c>
      <c r="AJ62">
        <v>1</v>
      </c>
      <c r="AK62">
        <v>1</v>
      </c>
      <c r="AL62">
        <v>1</v>
      </c>
      <c r="AN62">
        <v>0</v>
      </c>
      <c r="AO62">
        <v>1</v>
      </c>
      <c r="AP62">
        <v>0</v>
      </c>
      <c r="AQ62">
        <v>0</v>
      </c>
      <c r="AR62">
        <v>0</v>
      </c>
      <c r="AS62" t="s">
        <v>3</v>
      </c>
      <c r="AT62">
        <v>0.61</v>
      </c>
      <c r="AU62" t="s">
        <v>3</v>
      </c>
      <c r="AV62">
        <v>0</v>
      </c>
      <c r="AW62">
        <v>2</v>
      </c>
      <c r="AX62">
        <v>45748344</v>
      </c>
      <c r="AY62">
        <v>1</v>
      </c>
      <c r="AZ62">
        <v>0</v>
      </c>
      <c r="BA62">
        <v>62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Y62*Source!I97</f>
        <v>0.62219999999999998</v>
      </c>
      <c r="CY62">
        <f>AB62</f>
        <v>190.93</v>
      </c>
      <c r="CZ62">
        <f>AF62</f>
        <v>190.93</v>
      </c>
      <c r="DA62">
        <f>AJ62</f>
        <v>1</v>
      </c>
      <c r="DB62">
        <f t="shared" si="5"/>
        <v>116.47</v>
      </c>
      <c r="DC62">
        <f t="shared" si="6"/>
        <v>11.07</v>
      </c>
    </row>
    <row r="63" spans="1:107" x14ac:dyDescent="0.2">
      <c r="A63">
        <f>ROW(Source!A97)</f>
        <v>97</v>
      </c>
      <c r="B63">
        <v>45748053</v>
      </c>
      <c r="C63">
        <v>45748336</v>
      </c>
      <c r="D63">
        <v>24911696</v>
      </c>
      <c r="E63">
        <v>1</v>
      </c>
      <c r="F63">
        <v>1</v>
      </c>
      <c r="G63">
        <v>24859158</v>
      </c>
      <c r="H63">
        <v>3</v>
      </c>
      <c r="I63" t="s">
        <v>160</v>
      </c>
      <c r="J63" t="s">
        <v>163</v>
      </c>
      <c r="K63" t="s">
        <v>161</v>
      </c>
      <c r="L63">
        <v>1301</v>
      </c>
      <c r="N63">
        <v>1003</v>
      </c>
      <c r="O63" t="s">
        <v>162</v>
      </c>
      <c r="P63" t="s">
        <v>162</v>
      </c>
      <c r="Q63">
        <v>1</v>
      </c>
      <c r="W63">
        <v>0</v>
      </c>
      <c r="X63">
        <v>1901670477</v>
      </c>
      <c r="Y63">
        <v>100</v>
      </c>
      <c r="AA63">
        <v>1104.55</v>
      </c>
      <c r="AB63">
        <v>0</v>
      </c>
      <c r="AC63">
        <v>0</v>
      </c>
      <c r="AD63">
        <v>0</v>
      </c>
      <c r="AE63">
        <v>1104.55</v>
      </c>
      <c r="AF63">
        <v>0</v>
      </c>
      <c r="AG63">
        <v>0</v>
      </c>
      <c r="AH63">
        <v>0</v>
      </c>
      <c r="AI63">
        <v>1</v>
      </c>
      <c r="AJ63">
        <v>1</v>
      </c>
      <c r="AK63">
        <v>1</v>
      </c>
      <c r="AL63">
        <v>1</v>
      </c>
      <c r="AN63">
        <v>0</v>
      </c>
      <c r="AO63">
        <v>0</v>
      </c>
      <c r="AP63">
        <v>0</v>
      </c>
      <c r="AQ63">
        <v>0</v>
      </c>
      <c r="AR63">
        <v>0</v>
      </c>
      <c r="AS63" t="s">
        <v>3</v>
      </c>
      <c r="AT63">
        <v>100</v>
      </c>
      <c r="AU63" t="s">
        <v>3</v>
      </c>
      <c r="AV63">
        <v>0</v>
      </c>
      <c r="AW63">
        <v>1</v>
      </c>
      <c r="AX63">
        <v>-1</v>
      </c>
      <c r="AY63">
        <v>0</v>
      </c>
      <c r="AZ63">
        <v>0</v>
      </c>
      <c r="BA63" t="s">
        <v>3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Y63*Source!I97</f>
        <v>102</v>
      </c>
      <c r="CY63">
        <f>AA63</f>
        <v>1104.55</v>
      </c>
      <c r="CZ63">
        <f>AE63</f>
        <v>1104.55</v>
      </c>
      <c r="DA63">
        <f>AI63</f>
        <v>1</v>
      </c>
      <c r="DB63">
        <f t="shared" si="5"/>
        <v>110455</v>
      </c>
      <c r="DC63">
        <f t="shared" si="6"/>
        <v>0</v>
      </c>
    </row>
    <row r="64" spans="1:107" x14ac:dyDescent="0.2">
      <c r="A64">
        <f>ROW(Source!A97)</f>
        <v>97</v>
      </c>
      <c r="B64">
        <v>45748053</v>
      </c>
      <c r="C64">
        <v>45748336</v>
      </c>
      <c r="D64">
        <v>24925869</v>
      </c>
      <c r="E64">
        <v>1</v>
      </c>
      <c r="F64">
        <v>1</v>
      </c>
      <c r="G64">
        <v>24859158</v>
      </c>
      <c r="H64">
        <v>3</v>
      </c>
      <c r="I64" t="s">
        <v>306</v>
      </c>
      <c r="J64" t="s">
        <v>307</v>
      </c>
      <c r="K64" t="s">
        <v>308</v>
      </c>
      <c r="L64">
        <v>1339</v>
      </c>
      <c r="N64">
        <v>1007</v>
      </c>
      <c r="O64" t="s">
        <v>150</v>
      </c>
      <c r="P64" t="s">
        <v>150</v>
      </c>
      <c r="Q64">
        <v>1</v>
      </c>
      <c r="W64">
        <v>0</v>
      </c>
      <c r="X64">
        <v>-758282629</v>
      </c>
      <c r="Y64">
        <v>5.9</v>
      </c>
      <c r="AA64">
        <v>704.89</v>
      </c>
      <c r="AB64">
        <v>0</v>
      </c>
      <c r="AC64">
        <v>0</v>
      </c>
      <c r="AD64">
        <v>0</v>
      </c>
      <c r="AE64">
        <v>704.89</v>
      </c>
      <c r="AF64">
        <v>0</v>
      </c>
      <c r="AG64">
        <v>0</v>
      </c>
      <c r="AH64">
        <v>0</v>
      </c>
      <c r="AI64">
        <v>1</v>
      </c>
      <c r="AJ64">
        <v>1</v>
      </c>
      <c r="AK64">
        <v>1</v>
      </c>
      <c r="AL64">
        <v>1</v>
      </c>
      <c r="AN64">
        <v>0</v>
      </c>
      <c r="AO64">
        <v>1</v>
      </c>
      <c r="AP64">
        <v>0</v>
      </c>
      <c r="AQ64">
        <v>0</v>
      </c>
      <c r="AR64">
        <v>0</v>
      </c>
      <c r="AS64" t="s">
        <v>3</v>
      </c>
      <c r="AT64">
        <v>5.9</v>
      </c>
      <c r="AU64" t="s">
        <v>3</v>
      </c>
      <c r="AV64">
        <v>0</v>
      </c>
      <c r="AW64">
        <v>2</v>
      </c>
      <c r="AX64">
        <v>45748345</v>
      </c>
      <c r="AY64">
        <v>1</v>
      </c>
      <c r="AZ64">
        <v>0</v>
      </c>
      <c r="BA64">
        <v>63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Y64*Source!I97</f>
        <v>6.0180000000000007</v>
      </c>
      <c r="CY64">
        <f>AA64</f>
        <v>704.89</v>
      </c>
      <c r="CZ64">
        <f>AE64</f>
        <v>704.89</v>
      </c>
      <c r="DA64">
        <f>AI64</f>
        <v>1</v>
      </c>
      <c r="DB64">
        <f t="shared" si="5"/>
        <v>4158.8500000000004</v>
      </c>
      <c r="DC64">
        <f t="shared" si="6"/>
        <v>0</v>
      </c>
    </row>
    <row r="65" spans="1:107" x14ac:dyDescent="0.2">
      <c r="A65">
        <f>ROW(Source!A97)</f>
        <v>97</v>
      </c>
      <c r="B65">
        <v>45748053</v>
      </c>
      <c r="C65">
        <v>45748336</v>
      </c>
      <c r="D65">
        <v>24926003</v>
      </c>
      <c r="E65">
        <v>1</v>
      </c>
      <c r="F65">
        <v>1</v>
      </c>
      <c r="G65">
        <v>24859158</v>
      </c>
      <c r="H65">
        <v>3</v>
      </c>
      <c r="I65" t="s">
        <v>309</v>
      </c>
      <c r="J65" t="s">
        <v>310</v>
      </c>
      <c r="K65" t="s">
        <v>311</v>
      </c>
      <c r="L65">
        <v>1339</v>
      </c>
      <c r="N65">
        <v>1007</v>
      </c>
      <c r="O65" t="s">
        <v>150</v>
      </c>
      <c r="P65" t="s">
        <v>150</v>
      </c>
      <c r="Q65">
        <v>1</v>
      </c>
      <c r="W65">
        <v>0</v>
      </c>
      <c r="X65">
        <v>-718781615</v>
      </c>
      <c r="Y65">
        <v>0.06</v>
      </c>
      <c r="AA65">
        <v>451.14</v>
      </c>
      <c r="AB65">
        <v>0</v>
      </c>
      <c r="AC65">
        <v>0</v>
      </c>
      <c r="AD65">
        <v>0</v>
      </c>
      <c r="AE65">
        <v>451.14</v>
      </c>
      <c r="AF65">
        <v>0</v>
      </c>
      <c r="AG65">
        <v>0</v>
      </c>
      <c r="AH65">
        <v>0</v>
      </c>
      <c r="AI65">
        <v>1</v>
      </c>
      <c r="AJ65">
        <v>1</v>
      </c>
      <c r="AK65">
        <v>1</v>
      </c>
      <c r="AL65">
        <v>1</v>
      </c>
      <c r="AN65">
        <v>0</v>
      </c>
      <c r="AO65">
        <v>1</v>
      </c>
      <c r="AP65">
        <v>0</v>
      </c>
      <c r="AQ65">
        <v>0</v>
      </c>
      <c r="AR65">
        <v>0</v>
      </c>
      <c r="AS65" t="s">
        <v>3</v>
      </c>
      <c r="AT65">
        <v>0.06</v>
      </c>
      <c r="AU65" t="s">
        <v>3</v>
      </c>
      <c r="AV65">
        <v>0</v>
      </c>
      <c r="AW65">
        <v>2</v>
      </c>
      <c r="AX65">
        <v>45748346</v>
      </c>
      <c r="AY65">
        <v>1</v>
      </c>
      <c r="AZ65">
        <v>0</v>
      </c>
      <c r="BA65">
        <v>64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Y65*Source!I97</f>
        <v>6.1199999999999997E-2</v>
      </c>
      <c r="CY65">
        <f>AA65</f>
        <v>451.14</v>
      </c>
      <c r="CZ65">
        <f>AE65</f>
        <v>451.14</v>
      </c>
      <c r="DA65">
        <f>AI65</f>
        <v>1</v>
      </c>
      <c r="DB65">
        <f t="shared" ref="DB65:DB75" si="7">ROUND(ROUND(AT65*CZ65,2),6)</f>
        <v>27.07</v>
      </c>
      <c r="DC65">
        <f t="shared" ref="DC65:DC75" si="8">ROUND(ROUND(AT65*AG65,2),6)</f>
        <v>0</v>
      </c>
    </row>
    <row r="66" spans="1:107" x14ac:dyDescent="0.2">
      <c r="A66">
        <f>ROW(Source!A97)</f>
        <v>97</v>
      </c>
      <c r="B66">
        <v>45748053</v>
      </c>
      <c r="C66">
        <v>45748336</v>
      </c>
      <c r="D66">
        <v>24881026</v>
      </c>
      <c r="E66">
        <v>24859158</v>
      </c>
      <c r="F66">
        <v>1</v>
      </c>
      <c r="G66">
        <v>24859158</v>
      </c>
      <c r="H66">
        <v>3</v>
      </c>
      <c r="I66" t="s">
        <v>312</v>
      </c>
      <c r="J66" t="s">
        <v>3</v>
      </c>
      <c r="K66" t="s">
        <v>313</v>
      </c>
      <c r="L66">
        <v>1344</v>
      </c>
      <c r="N66">
        <v>1008</v>
      </c>
      <c r="O66" t="s">
        <v>278</v>
      </c>
      <c r="P66" t="s">
        <v>278</v>
      </c>
      <c r="Q66">
        <v>1</v>
      </c>
      <c r="W66">
        <v>0</v>
      </c>
      <c r="X66">
        <v>-94250534</v>
      </c>
      <c r="Y66">
        <v>116.34</v>
      </c>
      <c r="AA66">
        <v>1</v>
      </c>
      <c r="AB66">
        <v>0</v>
      </c>
      <c r="AC66">
        <v>0</v>
      </c>
      <c r="AD66">
        <v>0</v>
      </c>
      <c r="AE66">
        <v>1</v>
      </c>
      <c r="AF66">
        <v>0</v>
      </c>
      <c r="AG66">
        <v>0</v>
      </c>
      <c r="AH66">
        <v>0</v>
      </c>
      <c r="AI66">
        <v>1</v>
      </c>
      <c r="AJ66">
        <v>1</v>
      </c>
      <c r="AK66">
        <v>1</v>
      </c>
      <c r="AL66">
        <v>1</v>
      </c>
      <c r="AN66">
        <v>0</v>
      </c>
      <c r="AO66">
        <v>1</v>
      </c>
      <c r="AP66">
        <v>0</v>
      </c>
      <c r="AQ66">
        <v>0</v>
      </c>
      <c r="AR66">
        <v>0</v>
      </c>
      <c r="AS66" t="s">
        <v>3</v>
      </c>
      <c r="AT66">
        <v>116.34</v>
      </c>
      <c r="AU66" t="s">
        <v>3</v>
      </c>
      <c r="AV66">
        <v>0</v>
      </c>
      <c r="AW66">
        <v>2</v>
      </c>
      <c r="AX66">
        <v>45748348</v>
      </c>
      <c r="AY66">
        <v>1</v>
      </c>
      <c r="AZ66">
        <v>0</v>
      </c>
      <c r="BA66">
        <v>66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Y66*Source!I97</f>
        <v>118.66680000000001</v>
      </c>
      <c r="CY66">
        <f>AA66</f>
        <v>1</v>
      </c>
      <c r="CZ66">
        <f>AE66</f>
        <v>1</v>
      </c>
      <c r="DA66">
        <f>AI66</f>
        <v>1</v>
      </c>
      <c r="DB66">
        <f t="shared" si="7"/>
        <v>116.34</v>
      </c>
      <c r="DC66">
        <f t="shared" si="8"/>
        <v>0</v>
      </c>
    </row>
    <row r="67" spans="1:107" x14ac:dyDescent="0.2">
      <c r="A67">
        <f>ROW(Source!A98)</f>
        <v>98</v>
      </c>
      <c r="B67">
        <v>45747932</v>
      </c>
      <c r="C67">
        <v>45748336</v>
      </c>
      <c r="D67">
        <v>24859163</v>
      </c>
      <c r="E67">
        <v>24859158</v>
      </c>
      <c r="F67">
        <v>1</v>
      </c>
      <c r="G67">
        <v>24859158</v>
      </c>
      <c r="H67">
        <v>1</v>
      </c>
      <c r="I67" t="s">
        <v>263</v>
      </c>
      <c r="J67" t="s">
        <v>3</v>
      </c>
      <c r="K67" t="s">
        <v>264</v>
      </c>
      <c r="L67">
        <v>1191</v>
      </c>
      <c r="N67">
        <v>1013</v>
      </c>
      <c r="O67" t="s">
        <v>265</v>
      </c>
      <c r="P67" t="s">
        <v>265</v>
      </c>
      <c r="Q67">
        <v>1</v>
      </c>
      <c r="W67">
        <v>0</v>
      </c>
      <c r="X67">
        <v>476480486</v>
      </c>
      <c r="Y67">
        <v>100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1</v>
      </c>
      <c r="AJ67">
        <v>1</v>
      </c>
      <c r="AK67">
        <v>1</v>
      </c>
      <c r="AL67">
        <v>1</v>
      </c>
      <c r="AN67">
        <v>0</v>
      </c>
      <c r="AO67">
        <v>1</v>
      </c>
      <c r="AP67">
        <v>0</v>
      </c>
      <c r="AQ67">
        <v>0</v>
      </c>
      <c r="AR67">
        <v>0</v>
      </c>
      <c r="AS67" t="s">
        <v>3</v>
      </c>
      <c r="AT67">
        <v>100</v>
      </c>
      <c r="AU67" t="s">
        <v>3</v>
      </c>
      <c r="AV67">
        <v>1</v>
      </c>
      <c r="AW67">
        <v>2</v>
      </c>
      <c r="AX67">
        <v>45748343</v>
      </c>
      <c r="AY67">
        <v>1</v>
      </c>
      <c r="AZ67">
        <v>0</v>
      </c>
      <c r="BA67">
        <v>67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Y67*Source!I98</f>
        <v>102</v>
      </c>
      <c r="CY67">
        <f>AD67</f>
        <v>0</v>
      </c>
      <c r="CZ67">
        <f>AH67</f>
        <v>0</v>
      </c>
      <c r="DA67">
        <f>AL67</f>
        <v>1</v>
      </c>
      <c r="DB67">
        <f t="shared" si="7"/>
        <v>0</v>
      </c>
      <c r="DC67">
        <f t="shared" si="8"/>
        <v>0</v>
      </c>
    </row>
    <row r="68" spans="1:107" x14ac:dyDescent="0.2">
      <c r="A68">
        <f>ROW(Source!A98)</f>
        <v>98</v>
      </c>
      <c r="B68">
        <v>45747932</v>
      </c>
      <c r="C68">
        <v>45748336</v>
      </c>
      <c r="D68">
        <v>24931633</v>
      </c>
      <c r="E68">
        <v>1</v>
      </c>
      <c r="F68">
        <v>1</v>
      </c>
      <c r="G68">
        <v>24859158</v>
      </c>
      <c r="H68">
        <v>2</v>
      </c>
      <c r="I68" t="s">
        <v>303</v>
      </c>
      <c r="J68" t="s">
        <v>304</v>
      </c>
      <c r="K68" t="s">
        <v>305</v>
      </c>
      <c r="L68">
        <v>1367</v>
      </c>
      <c r="N68">
        <v>1011</v>
      </c>
      <c r="O68" t="s">
        <v>269</v>
      </c>
      <c r="P68" t="s">
        <v>269</v>
      </c>
      <c r="Q68">
        <v>1</v>
      </c>
      <c r="W68">
        <v>0</v>
      </c>
      <c r="X68">
        <v>-266174272</v>
      </c>
      <c r="Y68">
        <v>0.61</v>
      </c>
      <c r="AA68">
        <v>0</v>
      </c>
      <c r="AB68">
        <v>1685.19</v>
      </c>
      <c r="AC68">
        <v>477.55</v>
      </c>
      <c r="AD68">
        <v>0</v>
      </c>
      <c r="AE68">
        <v>0</v>
      </c>
      <c r="AF68">
        <v>190.93</v>
      </c>
      <c r="AG68">
        <v>18.149999999999999</v>
      </c>
      <c r="AH68">
        <v>0</v>
      </c>
      <c r="AI68">
        <v>1</v>
      </c>
      <c r="AJ68">
        <v>8.43</v>
      </c>
      <c r="AK68">
        <v>25.13</v>
      </c>
      <c r="AL68">
        <v>1</v>
      </c>
      <c r="AN68">
        <v>0</v>
      </c>
      <c r="AO68">
        <v>1</v>
      </c>
      <c r="AP68">
        <v>0</v>
      </c>
      <c r="AQ68">
        <v>0</v>
      </c>
      <c r="AR68">
        <v>0</v>
      </c>
      <c r="AS68" t="s">
        <v>3</v>
      </c>
      <c r="AT68">
        <v>0.61</v>
      </c>
      <c r="AU68" t="s">
        <v>3</v>
      </c>
      <c r="AV68">
        <v>0</v>
      </c>
      <c r="AW68">
        <v>2</v>
      </c>
      <c r="AX68">
        <v>45748344</v>
      </c>
      <c r="AY68">
        <v>1</v>
      </c>
      <c r="AZ68">
        <v>0</v>
      </c>
      <c r="BA68">
        <v>68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Y68*Source!I98</f>
        <v>0.62219999999999998</v>
      </c>
      <c r="CY68">
        <f>AB68</f>
        <v>1685.19</v>
      </c>
      <c r="CZ68">
        <f>AF68</f>
        <v>190.93</v>
      </c>
      <c r="DA68">
        <f>AJ68</f>
        <v>8.43</v>
      </c>
      <c r="DB68">
        <f t="shared" si="7"/>
        <v>116.47</v>
      </c>
      <c r="DC68">
        <f t="shared" si="8"/>
        <v>11.07</v>
      </c>
    </row>
    <row r="69" spans="1:107" x14ac:dyDescent="0.2">
      <c r="A69">
        <f>ROW(Source!A98)</f>
        <v>98</v>
      </c>
      <c r="B69">
        <v>45747932</v>
      </c>
      <c r="C69">
        <v>45748336</v>
      </c>
      <c r="D69">
        <v>24911696</v>
      </c>
      <c r="E69">
        <v>1</v>
      </c>
      <c r="F69">
        <v>1</v>
      </c>
      <c r="G69">
        <v>24859158</v>
      </c>
      <c r="H69">
        <v>3</v>
      </c>
      <c r="I69" t="s">
        <v>160</v>
      </c>
      <c r="J69" t="s">
        <v>163</v>
      </c>
      <c r="K69" t="s">
        <v>161</v>
      </c>
      <c r="L69">
        <v>1301</v>
      </c>
      <c r="N69">
        <v>1003</v>
      </c>
      <c r="O69" t="s">
        <v>162</v>
      </c>
      <c r="P69" t="s">
        <v>162</v>
      </c>
      <c r="Q69">
        <v>1</v>
      </c>
      <c r="W69">
        <v>0</v>
      </c>
      <c r="X69">
        <v>1901670477</v>
      </c>
      <c r="Y69">
        <v>100</v>
      </c>
      <c r="AA69">
        <v>2389.0300000000002</v>
      </c>
      <c r="AB69">
        <v>0</v>
      </c>
      <c r="AC69">
        <v>0</v>
      </c>
      <c r="AD69">
        <v>0</v>
      </c>
      <c r="AE69">
        <v>1104.55</v>
      </c>
      <c r="AF69">
        <v>0</v>
      </c>
      <c r="AG69">
        <v>0</v>
      </c>
      <c r="AH69">
        <v>0</v>
      </c>
      <c r="AI69">
        <v>2.15</v>
      </c>
      <c r="AJ69">
        <v>1</v>
      </c>
      <c r="AK69">
        <v>1</v>
      </c>
      <c r="AL69">
        <v>1</v>
      </c>
      <c r="AN69">
        <v>0</v>
      </c>
      <c r="AO69">
        <v>0</v>
      </c>
      <c r="AP69">
        <v>0</v>
      </c>
      <c r="AQ69">
        <v>0</v>
      </c>
      <c r="AR69">
        <v>0</v>
      </c>
      <c r="AS69" t="s">
        <v>3</v>
      </c>
      <c r="AT69">
        <v>100</v>
      </c>
      <c r="AU69" t="s">
        <v>3</v>
      </c>
      <c r="AV69">
        <v>0</v>
      </c>
      <c r="AW69">
        <v>1</v>
      </c>
      <c r="AX69">
        <v>-1</v>
      </c>
      <c r="AY69">
        <v>0</v>
      </c>
      <c r="AZ69">
        <v>0</v>
      </c>
      <c r="BA69" t="s">
        <v>3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Y69*Source!I98</f>
        <v>102</v>
      </c>
      <c r="CY69">
        <f>AA69</f>
        <v>2389.0300000000002</v>
      </c>
      <c r="CZ69">
        <f>AE69</f>
        <v>1104.55</v>
      </c>
      <c r="DA69">
        <f>AI69</f>
        <v>2.15</v>
      </c>
      <c r="DB69">
        <f t="shared" si="7"/>
        <v>110455</v>
      </c>
      <c r="DC69">
        <f t="shared" si="8"/>
        <v>0</v>
      </c>
    </row>
    <row r="70" spans="1:107" x14ac:dyDescent="0.2">
      <c r="A70">
        <f>ROW(Source!A98)</f>
        <v>98</v>
      </c>
      <c r="B70">
        <v>45747932</v>
      </c>
      <c r="C70">
        <v>45748336</v>
      </c>
      <c r="D70">
        <v>24925869</v>
      </c>
      <c r="E70">
        <v>1</v>
      </c>
      <c r="F70">
        <v>1</v>
      </c>
      <c r="G70">
        <v>24859158</v>
      </c>
      <c r="H70">
        <v>3</v>
      </c>
      <c r="I70" t="s">
        <v>306</v>
      </c>
      <c r="J70" t="s">
        <v>307</v>
      </c>
      <c r="K70" t="s">
        <v>308</v>
      </c>
      <c r="L70">
        <v>1339</v>
      </c>
      <c r="N70">
        <v>1007</v>
      </c>
      <c r="O70" t="s">
        <v>150</v>
      </c>
      <c r="P70" t="s">
        <v>150</v>
      </c>
      <c r="Q70">
        <v>1</v>
      </c>
      <c r="W70">
        <v>0</v>
      </c>
      <c r="X70">
        <v>-758282629</v>
      </c>
      <c r="Y70">
        <v>5.9</v>
      </c>
      <c r="AA70">
        <v>4169.62</v>
      </c>
      <c r="AB70">
        <v>0</v>
      </c>
      <c r="AC70">
        <v>0</v>
      </c>
      <c r="AD70">
        <v>0</v>
      </c>
      <c r="AE70">
        <v>704.89</v>
      </c>
      <c r="AF70">
        <v>0</v>
      </c>
      <c r="AG70">
        <v>0</v>
      </c>
      <c r="AH70">
        <v>0</v>
      </c>
      <c r="AI70">
        <v>5.88</v>
      </c>
      <c r="AJ70">
        <v>1</v>
      </c>
      <c r="AK70">
        <v>1</v>
      </c>
      <c r="AL70">
        <v>1</v>
      </c>
      <c r="AN70">
        <v>0</v>
      </c>
      <c r="AO70">
        <v>1</v>
      </c>
      <c r="AP70">
        <v>0</v>
      </c>
      <c r="AQ70">
        <v>0</v>
      </c>
      <c r="AR70">
        <v>0</v>
      </c>
      <c r="AS70" t="s">
        <v>3</v>
      </c>
      <c r="AT70">
        <v>5.9</v>
      </c>
      <c r="AU70" t="s">
        <v>3</v>
      </c>
      <c r="AV70">
        <v>0</v>
      </c>
      <c r="AW70">
        <v>2</v>
      </c>
      <c r="AX70">
        <v>45748345</v>
      </c>
      <c r="AY70">
        <v>1</v>
      </c>
      <c r="AZ70">
        <v>0</v>
      </c>
      <c r="BA70">
        <v>69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Y70*Source!I98</f>
        <v>6.0180000000000007</v>
      </c>
      <c r="CY70">
        <f>AA70</f>
        <v>4169.62</v>
      </c>
      <c r="CZ70">
        <f>AE70</f>
        <v>704.89</v>
      </c>
      <c r="DA70">
        <f>AI70</f>
        <v>5.88</v>
      </c>
      <c r="DB70">
        <f t="shared" si="7"/>
        <v>4158.8500000000004</v>
      </c>
      <c r="DC70">
        <f t="shared" si="8"/>
        <v>0</v>
      </c>
    </row>
    <row r="71" spans="1:107" x14ac:dyDescent="0.2">
      <c r="A71">
        <f>ROW(Source!A98)</f>
        <v>98</v>
      </c>
      <c r="B71">
        <v>45747932</v>
      </c>
      <c r="C71">
        <v>45748336</v>
      </c>
      <c r="D71">
        <v>24926003</v>
      </c>
      <c r="E71">
        <v>1</v>
      </c>
      <c r="F71">
        <v>1</v>
      </c>
      <c r="G71">
        <v>24859158</v>
      </c>
      <c r="H71">
        <v>3</v>
      </c>
      <c r="I71" t="s">
        <v>309</v>
      </c>
      <c r="J71" t="s">
        <v>310</v>
      </c>
      <c r="K71" t="s">
        <v>311</v>
      </c>
      <c r="L71">
        <v>1339</v>
      </c>
      <c r="N71">
        <v>1007</v>
      </c>
      <c r="O71" t="s">
        <v>150</v>
      </c>
      <c r="P71" t="s">
        <v>150</v>
      </c>
      <c r="Q71">
        <v>1</v>
      </c>
      <c r="W71">
        <v>0</v>
      </c>
      <c r="X71">
        <v>-718781615</v>
      </c>
      <c r="Y71">
        <v>0.06</v>
      </c>
      <c r="AA71">
        <v>3040.77</v>
      </c>
      <c r="AB71">
        <v>0</v>
      </c>
      <c r="AC71">
        <v>0</v>
      </c>
      <c r="AD71">
        <v>0</v>
      </c>
      <c r="AE71">
        <v>451.14</v>
      </c>
      <c r="AF71">
        <v>0</v>
      </c>
      <c r="AG71">
        <v>0</v>
      </c>
      <c r="AH71">
        <v>0</v>
      </c>
      <c r="AI71">
        <v>6.7</v>
      </c>
      <c r="AJ71">
        <v>1</v>
      </c>
      <c r="AK71">
        <v>1</v>
      </c>
      <c r="AL71">
        <v>1</v>
      </c>
      <c r="AN71">
        <v>0</v>
      </c>
      <c r="AO71">
        <v>1</v>
      </c>
      <c r="AP71">
        <v>0</v>
      </c>
      <c r="AQ71">
        <v>0</v>
      </c>
      <c r="AR71">
        <v>0</v>
      </c>
      <c r="AS71" t="s">
        <v>3</v>
      </c>
      <c r="AT71">
        <v>0.06</v>
      </c>
      <c r="AU71" t="s">
        <v>3</v>
      </c>
      <c r="AV71">
        <v>0</v>
      </c>
      <c r="AW71">
        <v>2</v>
      </c>
      <c r="AX71">
        <v>45748346</v>
      </c>
      <c r="AY71">
        <v>1</v>
      </c>
      <c r="AZ71">
        <v>0</v>
      </c>
      <c r="BA71">
        <v>70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Y71*Source!I98</f>
        <v>6.1199999999999997E-2</v>
      </c>
      <c r="CY71">
        <f>AA71</f>
        <v>3040.77</v>
      </c>
      <c r="CZ71">
        <f>AE71</f>
        <v>451.14</v>
      </c>
      <c r="DA71">
        <f>AI71</f>
        <v>6.7</v>
      </c>
      <c r="DB71">
        <f t="shared" si="7"/>
        <v>27.07</v>
      </c>
      <c r="DC71">
        <f t="shared" si="8"/>
        <v>0</v>
      </c>
    </row>
    <row r="72" spans="1:107" x14ac:dyDescent="0.2">
      <c r="A72">
        <f>ROW(Source!A98)</f>
        <v>98</v>
      </c>
      <c r="B72">
        <v>45747932</v>
      </c>
      <c r="C72">
        <v>45748336</v>
      </c>
      <c r="D72">
        <v>24881026</v>
      </c>
      <c r="E72">
        <v>24859158</v>
      </c>
      <c r="F72">
        <v>1</v>
      </c>
      <c r="G72">
        <v>24859158</v>
      </c>
      <c r="H72">
        <v>3</v>
      </c>
      <c r="I72" t="s">
        <v>312</v>
      </c>
      <c r="J72" t="s">
        <v>3</v>
      </c>
      <c r="K72" t="s">
        <v>313</v>
      </c>
      <c r="L72">
        <v>1344</v>
      </c>
      <c r="N72">
        <v>1008</v>
      </c>
      <c r="O72" t="s">
        <v>278</v>
      </c>
      <c r="P72" t="s">
        <v>278</v>
      </c>
      <c r="Q72">
        <v>1</v>
      </c>
      <c r="W72">
        <v>0</v>
      </c>
      <c r="X72">
        <v>-94250534</v>
      </c>
      <c r="Y72">
        <v>116.34</v>
      </c>
      <c r="AA72">
        <v>1.01</v>
      </c>
      <c r="AB72">
        <v>0</v>
      </c>
      <c r="AC72">
        <v>0</v>
      </c>
      <c r="AD72">
        <v>0</v>
      </c>
      <c r="AE72">
        <v>1</v>
      </c>
      <c r="AF72">
        <v>0</v>
      </c>
      <c r="AG72">
        <v>0</v>
      </c>
      <c r="AH72">
        <v>0</v>
      </c>
      <c r="AI72">
        <v>1</v>
      </c>
      <c r="AJ72">
        <v>1</v>
      </c>
      <c r="AK72">
        <v>1</v>
      </c>
      <c r="AL72">
        <v>1</v>
      </c>
      <c r="AN72">
        <v>0</v>
      </c>
      <c r="AO72">
        <v>1</v>
      </c>
      <c r="AP72">
        <v>0</v>
      </c>
      <c r="AQ72">
        <v>0</v>
      </c>
      <c r="AR72">
        <v>0</v>
      </c>
      <c r="AS72" t="s">
        <v>3</v>
      </c>
      <c r="AT72">
        <v>116.34</v>
      </c>
      <c r="AU72" t="s">
        <v>3</v>
      </c>
      <c r="AV72">
        <v>0</v>
      </c>
      <c r="AW72">
        <v>2</v>
      </c>
      <c r="AX72">
        <v>45748348</v>
      </c>
      <c r="AY72">
        <v>1</v>
      </c>
      <c r="AZ72">
        <v>0</v>
      </c>
      <c r="BA72">
        <v>72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Y72*Source!I98</f>
        <v>118.66680000000001</v>
      </c>
      <c r="CY72">
        <f>AA72</f>
        <v>1.01</v>
      </c>
      <c r="CZ72">
        <f>AE72</f>
        <v>1</v>
      </c>
      <c r="DA72">
        <f>AI72</f>
        <v>1</v>
      </c>
      <c r="DB72">
        <f t="shared" si="7"/>
        <v>116.34</v>
      </c>
      <c r="DC72">
        <f t="shared" si="8"/>
        <v>0</v>
      </c>
    </row>
    <row r="73" spans="1:107" x14ac:dyDescent="0.2">
      <c r="A73">
        <f>ROW(Source!A101)</f>
        <v>101</v>
      </c>
      <c r="B73">
        <v>45748053</v>
      </c>
      <c r="C73">
        <v>45748432</v>
      </c>
      <c r="D73">
        <v>24859163</v>
      </c>
      <c r="E73">
        <v>24859158</v>
      </c>
      <c r="F73">
        <v>1</v>
      </c>
      <c r="G73">
        <v>24859158</v>
      </c>
      <c r="H73">
        <v>1</v>
      </c>
      <c r="I73" t="s">
        <v>263</v>
      </c>
      <c r="J73" t="s">
        <v>3</v>
      </c>
      <c r="K73" t="s">
        <v>264</v>
      </c>
      <c r="L73">
        <v>1191</v>
      </c>
      <c r="N73">
        <v>1013</v>
      </c>
      <c r="O73" t="s">
        <v>265</v>
      </c>
      <c r="P73" t="s">
        <v>265</v>
      </c>
      <c r="Q73">
        <v>1</v>
      </c>
      <c r="W73">
        <v>0</v>
      </c>
      <c r="X73">
        <v>476480486</v>
      </c>
      <c r="Y73">
        <v>393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1</v>
      </c>
      <c r="AJ73">
        <v>1</v>
      </c>
      <c r="AK73">
        <v>1</v>
      </c>
      <c r="AL73">
        <v>1</v>
      </c>
      <c r="AN73">
        <v>0</v>
      </c>
      <c r="AO73">
        <v>1</v>
      </c>
      <c r="AP73">
        <v>0</v>
      </c>
      <c r="AQ73">
        <v>0</v>
      </c>
      <c r="AR73">
        <v>0</v>
      </c>
      <c r="AS73" t="s">
        <v>3</v>
      </c>
      <c r="AT73">
        <v>393</v>
      </c>
      <c r="AU73" t="s">
        <v>3</v>
      </c>
      <c r="AV73">
        <v>1</v>
      </c>
      <c r="AW73">
        <v>2</v>
      </c>
      <c r="AX73">
        <v>45748433</v>
      </c>
      <c r="AY73">
        <v>1</v>
      </c>
      <c r="AZ73">
        <v>0</v>
      </c>
      <c r="BA73">
        <v>73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X73">
        <f>Y73*Source!I101</f>
        <v>80.171999999999997</v>
      </c>
      <c r="CY73">
        <f>AD73</f>
        <v>0</v>
      </c>
      <c r="CZ73">
        <f>AH73</f>
        <v>0</v>
      </c>
      <c r="DA73">
        <f>AL73</f>
        <v>1</v>
      </c>
      <c r="DB73">
        <f t="shared" si="7"/>
        <v>0</v>
      </c>
      <c r="DC73">
        <f t="shared" si="8"/>
        <v>0</v>
      </c>
    </row>
    <row r="74" spans="1:107" x14ac:dyDescent="0.2">
      <c r="A74">
        <f>ROW(Source!A101)</f>
        <v>101</v>
      </c>
      <c r="B74">
        <v>45748053</v>
      </c>
      <c r="C74">
        <v>45748432</v>
      </c>
      <c r="D74">
        <v>24931726</v>
      </c>
      <c r="E74">
        <v>1</v>
      </c>
      <c r="F74">
        <v>1</v>
      </c>
      <c r="G74">
        <v>24859158</v>
      </c>
      <c r="H74">
        <v>2</v>
      </c>
      <c r="I74" t="s">
        <v>314</v>
      </c>
      <c r="J74" t="s">
        <v>315</v>
      </c>
      <c r="K74" t="s">
        <v>316</v>
      </c>
      <c r="L74">
        <v>1367</v>
      </c>
      <c r="N74">
        <v>1011</v>
      </c>
      <c r="O74" t="s">
        <v>269</v>
      </c>
      <c r="P74" t="s">
        <v>269</v>
      </c>
      <c r="Q74">
        <v>1</v>
      </c>
      <c r="W74">
        <v>0</v>
      </c>
      <c r="X74">
        <v>482200787</v>
      </c>
      <c r="Y74">
        <v>1.05</v>
      </c>
      <c r="AA74">
        <v>0</v>
      </c>
      <c r="AB74">
        <v>73</v>
      </c>
      <c r="AC74">
        <v>16.899999999999999</v>
      </c>
      <c r="AD74">
        <v>0</v>
      </c>
      <c r="AE74">
        <v>0</v>
      </c>
      <c r="AF74">
        <v>73</v>
      </c>
      <c r="AG74">
        <v>16.899999999999999</v>
      </c>
      <c r="AH74">
        <v>0</v>
      </c>
      <c r="AI74">
        <v>1</v>
      </c>
      <c r="AJ74">
        <v>1</v>
      </c>
      <c r="AK74">
        <v>1</v>
      </c>
      <c r="AL74">
        <v>1</v>
      </c>
      <c r="AN74">
        <v>0</v>
      </c>
      <c r="AO74">
        <v>1</v>
      </c>
      <c r="AP74">
        <v>0</v>
      </c>
      <c r="AQ74">
        <v>0</v>
      </c>
      <c r="AR74">
        <v>0</v>
      </c>
      <c r="AS74" t="s">
        <v>3</v>
      </c>
      <c r="AT74">
        <v>1.05</v>
      </c>
      <c r="AU74" t="s">
        <v>3</v>
      </c>
      <c r="AV74">
        <v>0</v>
      </c>
      <c r="AW74">
        <v>2</v>
      </c>
      <c r="AX74">
        <v>45748434</v>
      </c>
      <c r="AY74">
        <v>1</v>
      </c>
      <c r="AZ74">
        <v>0</v>
      </c>
      <c r="BA74">
        <v>74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>Y74*Source!I101</f>
        <v>0.2142</v>
      </c>
      <c r="CY74">
        <f>AB74</f>
        <v>73</v>
      </c>
      <c r="CZ74">
        <f>AF74</f>
        <v>73</v>
      </c>
      <c r="DA74">
        <f>AJ74</f>
        <v>1</v>
      </c>
      <c r="DB74">
        <f t="shared" si="7"/>
        <v>76.650000000000006</v>
      </c>
      <c r="DC74">
        <f t="shared" si="8"/>
        <v>17.75</v>
      </c>
    </row>
    <row r="75" spans="1:107" x14ac:dyDescent="0.2">
      <c r="A75">
        <f>ROW(Source!A101)</f>
        <v>101</v>
      </c>
      <c r="B75">
        <v>45748053</v>
      </c>
      <c r="C75">
        <v>45748432</v>
      </c>
      <c r="D75">
        <v>24931812</v>
      </c>
      <c r="E75">
        <v>1</v>
      </c>
      <c r="F75">
        <v>1</v>
      </c>
      <c r="G75">
        <v>24859158</v>
      </c>
      <c r="H75">
        <v>2</v>
      </c>
      <c r="I75" t="s">
        <v>294</v>
      </c>
      <c r="J75" t="s">
        <v>295</v>
      </c>
      <c r="K75" t="s">
        <v>296</v>
      </c>
      <c r="L75">
        <v>1367</v>
      </c>
      <c r="N75">
        <v>1011</v>
      </c>
      <c r="O75" t="s">
        <v>269</v>
      </c>
      <c r="P75" t="s">
        <v>269</v>
      </c>
      <c r="Q75">
        <v>1</v>
      </c>
      <c r="W75">
        <v>0</v>
      </c>
      <c r="X75">
        <v>366114799</v>
      </c>
      <c r="Y75">
        <v>1.32</v>
      </c>
      <c r="AA75">
        <v>0</v>
      </c>
      <c r="AB75">
        <v>246.68</v>
      </c>
      <c r="AC75">
        <v>13.37</v>
      </c>
      <c r="AD75">
        <v>0</v>
      </c>
      <c r="AE75">
        <v>0</v>
      </c>
      <c r="AF75">
        <v>246.68</v>
      </c>
      <c r="AG75">
        <v>13.37</v>
      </c>
      <c r="AH75">
        <v>0</v>
      </c>
      <c r="AI75">
        <v>1</v>
      </c>
      <c r="AJ75">
        <v>1</v>
      </c>
      <c r="AK75">
        <v>1</v>
      </c>
      <c r="AL75">
        <v>1</v>
      </c>
      <c r="AN75">
        <v>0</v>
      </c>
      <c r="AO75">
        <v>1</v>
      </c>
      <c r="AP75">
        <v>0</v>
      </c>
      <c r="AQ75">
        <v>0</v>
      </c>
      <c r="AR75">
        <v>0</v>
      </c>
      <c r="AS75" t="s">
        <v>3</v>
      </c>
      <c r="AT75">
        <v>1.32</v>
      </c>
      <c r="AU75" t="s">
        <v>3</v>
      </c>
      <c r="AV75">
        <v>0</v>
      </c>
      <c r="AW75">
        <v>2</v>
      </c>
      <c r="AX75">
        <v>45748435</v>
      </c>
      <c r="AY75">
        <v>1</v>
      </c>
      <c r="AZ75">
        <v>0</v>
      </c>
      <c r="BA75">
        <v>75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X75">
        <f>Y75*Source!I101</f>
        <v>0.26928000000000002</v>
      </c>
      <c r="CY75">
        <f>AB75</f>
        <v>246.68</v>
      </c>
      <c r="CZ75">
        <f>AF75</f>
        <v>246.68</v>
      </c>
      <c r="DA75">
        <f>AJ75</f>
        <v>1</v>
      </c>
      <c r="DB75">
        <f t="shared" si="7"/>
        <v>325.62</v>
      </c>
      <c r="DC75">
        <f t="shared" si="8"/>
        <v>17.649999999999999</v>
      </c>
    </row>
    <row r="76" spans="1:107" x14ac:dyDescent="0.2">
      <c r="A76">
        <f>ROW(Source!A101)</f>
        <v>101</v>
      </c>
      <c r="B76">
        <v>45748053</v>
      </c>
      <c r="C76">
        <v>45748432</v>
      </c>
      <c r="D76">
        <v>24911534</v>
      </c>
      <c r="E76">
        <v>1</v>
      </c>
      <c r="F76">
        <v>1</v>
      </c>
      <c r="G76">
        <v>24859158</v>
      </c>
      <c r="H76">
        <v>3</v>
      </c>
      <c r="I76" t="s">
        <v>172</v>
      </c>
      <c r="J76" t="s">
        <v>174</v>
      </c>
      <c r="K76" t="s">
        <v>173</v>
      </c>
      <c r="L76">
        <v>1327</v>
      </c>
      <c r="N76">
        <v>1005</v>
      </c>
      <c r="O76" t="s">
        <v>17</v>
      </c>
      <c r="P76" t="s">
        <v>17</v>
      </c>
      <c r="Q76">
        <v>1</v>
      </c>
      <c r="W76">
        <v>0</v>
      </c>
      <c r="X76">
        <v>-117340116</v>
      </c>
      <c r="Y76">
        <v>180</v>
      </c>
      <c r="AA76">
        <v>2279.3200000000002</v>
      </c>
      <c r="AB76">
        <v>0</v>
      </c>
      <c r="AC76">
        <v>0</v>
      </c>
      <c r="AD76">
        <v>0</v>
      </c>
      <c r="AE76">
        <v>2279.3200000000002</v>
      </c>
      <c r="AF76">
        <v>0</v>
      </c>
      <c r="AG76">
        <v>0</v>
      </c>
      <c r="AH76">
        <v>0</v>
      </c>
      <c r="AI76">
        <v>1</v>
      </c>
      <c r="AJ76">
        <v>1</v>
      </c>
      <c r="AK76">
        <v>1</v>
      </c>
      <c r="AL76">
        <v>1</v>
      </c>
      <c r="AN76">
        <v>0</v>
      </c>
      <c r="AO76">
        <v>0</v>
      </c>
      <c r="AP76">
        <v>1</v>
      </c>
      <c r="AQ76">
        <v>0</v>
      </c>
      <c r="AR76">
        <v>0</v>
      </c>
      <c r="AS76" t="s">
        <v>3</v>
      </c>
      <c r="AT76">
        <v>100</v>
      </c>
      <c r="AU76" t="s">
        <v>175</v>
      </c>
      <c r="AV76">
        <v>0</v>
      </c>
      <c r="AW76">
        <v>1</v>
      </c>
      <c r="AX76">
        <v>-1</v>
      </c>
      <c r="AY76">
        <v>0</v>
      </c>
      <c r="AZ76">
        <v>0</v>
      </c>
      <c r="BA76" t="s">
        <v>3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X76">
        <f>Y76*Source!I101</f>
        <v>36.72</v>
      </c>
      <c r="CY76">
        <f>AA76</f>
        <v>2279.3200000000002</v>
      </c>
      <c r="CZ76">
        <f>AE76</f>
        <v>2279.3200000000002</v>
      </c>
      <c r="DA76">
        <f>AI76</f>
        <v>1</v>
      </c>
      <c r="DB76">
        <f>ROUND((ROUND(AT76*CZ76,2)*1.8),6)</f>
        <v>410277.6</v>
      </c>
      <c r="DC76">
        <f>ROUND((ROUND(AT76*AG76,2)*1.8),6)</f>
        <v>0</v>
      </c>
    </row>
    <row r="77" spans="1:107" x14ac:dyDescent="0.2">
      <c r="A77">
        <f>ROW(Source!A101)</f>
        <v>101</v>
      </c>
      <c r="B77">
        <v>45748053</v>
      </c>
      <c r="C77">
        <v>45748432</v>
      </c>
      <c r="D77">
        <v>24926016</v>
      </c>
      <c r="E77">
        <v>1</v>
      </c>
      <c r="F77">
        <v>1</v>
      </c>
      <c r="G77">
        <v>24859158</v>
      </c>
      <c r="H77">
        <v>3</v>
      </c>
      <c r="I77" t="s">
        <v>177</v>
      </c>
      <c r="J77" t="s">
        <v>179</v>
      </c>
      <c r="K77" t="s">
        <v>178</v>
      </c>
      <c r="L77">
        <v>1348</v>
      </c>
      <c r="N77">
        <v>1009</v>
      </c>
      <c r="O77" t="s">
        <v>44</v>
      </c>
      <c r="P77" t="s">
        <v>44</v>
      </c>
      <c r="Q77">
        <v>1000</v>
      </c>
      <c r="W77">
        <v>0</v>
      </c>
      <c r="X77">
        <v>-568000054</v>
      </c>
      <c r="Y77">
        <v>10</v>
      </c>
      <c r="AA77">
        <v>470.47</v>
      </c>
      <c r="AB77">
        <v>0</v>
      </c>
      <c r="AC77">
        <v>0</v>
      </c>
      <c r="AD77">
        <v>0</v>
      </c>
      <c r="AE77">
        <v>470.47</v>
      </c>
      <c r="AF77">
        <v>0</v>
      </c>
      <c r="AG77">
        <v>0</v>
      </c>
      <c r="AH77">
        <v>0</v>
      </c>
      <c r="AI77">
        <v>1</v>
      </c>
      <c r="AJ77">
        <v>1</v>
      </c>
      <c r="AK77">
        <v>1</v>
      </c>
      <c r="AL77">
        <v>1</v>
      </c>
      <c r="AN77">
        <v>0</v>
      </c>
      <c r="AO77">
        <v>0</v>
      </c>
      <c r="AP77">
        <v>0</v>
      </c>
      <c r="AQ77">
        <v>0</v>
      </c>
      <c r="AR77">
        <v>0</v>
      </c>
      <c r="AS77" t="s">
        <v>3</v>
      </c>
      <c r="AT77">
        <v>10</v>
      </c>
      <c r="AU77" t="s">
        <v>3</v>
      </c>
      <c r="AV77">
        <v>0</v>
      </c>
      <c r="AW77">
        <v>1</v>
      </c>
      <c r="AX77">
        <v>-1</v>
      </c>
      <c r="AY77">
        <v>0</v>
      </c>
      <c r="AZ77">
        <v>0</v>
      </c>
      <c r="BA77" t="s">
        <v>3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X77">
        <f>Y77*Source!I101</f>
        <v>2.04</v>
      </c>
      <c r="CY77">
        <f>AA77</f>
        <v>470.47</v>
      </c>
      <c r="CZ77">
        <f>AE77</f>
        <v>470.47</v>
      </c>
      <c r="DA77">
        <f>AI77</f>
        <v>1</v>
      </c>
      <c r="DB77">
        <f>ROUND(ROUND(AT77*CZ77,2),6)</f>
        <v>4704.7</v>
      </c>
      <c r="DC77">
        <f>ROUND(ROUND(AT77*AG77,2),6)</f>
        <v>0</v>
      </c>
    </row>
    <row r="78" spans="1:107" x14ac:dyDescent="0.2">
      <c r="A78">
        <f>ROW(Source!A101)</f>
        <v>101</v>
      </c>
      <c r="B78">
        <v>45748053</v>
      </c>
      <c r="C78">
        <v>45748432</v>
      </c>
      <c r="D78">
        <v>24881026</v>
      </c>
      <c r="E78">
        <v>24859158</v>
      </c>
      <c r="F78">
        <v>1</v>
      </c>
      <c r="G78">
        <v>24859158</v>
      </c>
      <c r="H78">
        <v>3</v>
      </c>
      <c r="I78" t="s">
        <v>312</v>
      </c>
      <c r="J78" t="s">
        <v>3</v>
      </c>
      <c r="K78" t="s">
        <v>313</v>
      </c>
      <c r="L78">
        <v>1344</v>
      </c>
      <c r="N78">
        <v>1008</v>
      </c>
      <c r="O78" t="s">
        <v>278</v>
      </c>
      <c r="P78" t="s">
        <v>278</v>
      </c>
      <c r="Q78">
        <v>1</v>
      </c>
      <c r="W78">
        <v>0</v>
      </c>
      <c r="X78">
        <v>-94250534</v>
      </c>
      <c r="Y78">
        <v>3</v>
      </c>
      <c r="AA78">
        <v>1</v>
      </c>
      <c r="AB78">
        <v>0</v>
      </c>
      <c r="AC78">
        <v>0</v>
      </c>
      <c r="AD78">
        <v>0</v>
      </c>
      <c r="AE78">
        <v>1</v>
      </c>
      <c r="AF78">
        <v>0</v>
      </c>
      <c r="AG78">
        <v>0</v>
      </c>
      <c r="AH78">
        <v>0</v>
      </c>
      <c r="AI78">
        <v>1</v>
      </c>
      <c r="AJ78">
        <v>1</v>
      </c>
      <c r="AK78">
        <v>1</v>
      </c>
      <c r="AL78">
        <v>1</v>
      </c>
      <c r="AN78">
        <v>0</v>
      </c>
      <c r="AO78">
        <v>1</v>
      </c>
      <c r="AP78">
        <v>0</v>
      </c>
      <c r="AQ78">
        <v>0</v>
      </c>
      <c r="AR78">
        <v>0</v>
      </c>
      <c r="AS78" t="s">
        <v>3</v>
      </c>
      <c r="AT78">
        <v>3</v>
      </c>
      <c r="AU78" t="s">
        <v>3</v>
      </c>
      <c r="AV78">
        <v>0</v>
      </c>
      <c r="AW78">
        <v>2</v>
      </c>
      <c r="AX78">
        <v>45748438</v>
      </c>
      <c r="AY78">
        <v>1</v>
      </c>
      <c r="AZ78">
        <v>0</v>
      </c>
      <c r="BA78">
        <v>78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X78">
        <f>Y78*Source!I101</f>
        <v>0.61199999999999999</v>
      </c>
      <c r="CY78">
        <f>AA78</f>
        <v>1</v>
      </c>
      <c r="CZ78">
        <f>AE78</f>
        <v>1</v>
      </c>
      <c r="DA78">
        <f>AI78</f>
        <v>1</v>
      </c>
      <c r="DB78">
        <f>ROUND(ROUND(AT78*CZ78,2),6)</f>
        <v>3</v>
      </c>
      <c r="DC78">
        <f>ROUND(ROUND(AT78*AG78,2),6)</f>
        <v>0</v>
      </c>
    </row>
    <row r="79" spans="1:107" x14ac:dyDescent="0.2">
      <c r="A79">
        <f>ROW(Source!A102)</f>
        <v>102</v>
      </c>
      <c r="B79">
        <v>45747932</v>
      </c>
      <c r="C79">
        <v>45748432</v>
      </c>
      <c r="D79">
        <v>24859163</v>
      </c>
      <c r="E79">
        <v>24859158</v>
      </c>
      <c r="F79">
        <v>1</v>
      </c>
      <c r="G79">
        <v>24859158</v>
      </c>
      <c r="H79">
        <v>1</v>
      </c>
      <c r="I79" t="s">
        <v>263</v>
      </c>
      <c r="J79" t="s">
        <v>3</v>
      </c>
      <c r="K79" t="s">
        <v>264</v>
      </c>
      <c r="L79">
        <v>1191</v>
      </c>
      <c r="N79">
        <v>1013</v>
      </c>
      <c r="O79" t="s">
        <v>265</v>
      </c>
      <c r="P79" t="s">
        <v>265</v>
      </c>
      <c r="Q79">
        <v>1</v>
      </c>
      <c r="W79">
        <v>0</v>
      </c>
      <c r="X79">
        <v>476480486</v>
      </c>
      <c r="Y79">
        <v>393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1</v>
      </c>
      <c r="AJ79">
        <v>1</v>
      </c>
      <c r="AK79">
        <v>1</v>
      </c>
      <c r="AL79">
        <v>1</v>
      </c>
      <c r="AN79">
        <v>0</v>
      </c>
      <c r="AO79">
        <v>1</v>
      </c>
      <c r="AP79">
        <v>0</v>
      </c>
      <c r="AQ79">
        <v>0</v>
      </c>
      <c r="AR79">
        <v>0</v>
      </c>
      <c r="AS79" t="s">
        <v>3</v>
      </c>
      <c r="AT79">
        <v>393</v>
      </c>
      <c r="AU79" t="s">
        <v>3</v>
      </c>
      <c r="AV79">
        <v>1</v>
      </c>
      <c r="AW79">
        <v>2</v>
      </c>
      <c r="AX79">
        <v>45748433</v>
      </c>
      <c r="AY79">
        <v>1</v>
      </c>
      <c r="AZ79">
        <v>0</v>
      </c>
      <c r="BA79">
        <v>79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X79">
        <f>Y79*Source!I102</f>
        <v>80.171999999999997</v>
      </c>
      <c r="CY79">
        <f>AD79</f>
        <v>0</v>
      </c>
      <c r="CZ79">
        <f>AH79</f>
        <v>0</v>
      </c>
      <c r="DA79">
        <f>AL79</f>
        <v>1</v>
      </c>
      <c r="DB79">
        <f>ROUND(ROUND(AT79*CZ79,2),6)</f>
        <v>0</v>
      </c>
      <c r="DC79">
        <f>ROUND(ROUND(AT79*AG79,2),6)</f>
        <v>0</v>
      </c>
    </row>
    <row r="80" spans="1:107" x14ac:dyDescent="0.2">
      <c r="A80">
        <f>ROW(Source!A102)</f>
        <v>102</v>
      </c>
      <c r="B80">
        <v>45747932</v>
      </c>
      <c r="C80">
        <v>45748432</v>
      </c>
      <c r="D80">
        <v>24931726</v>
      </c>
      <c r="E80">
        <v>1</v>
      </c>
      <c r="F80">
        <v>1</v>
      </c>
      <c r="G80">
        <v>24859158</v>
      </c>
      <c r="H80">
        <v>2</v>
      </c>
      <c r="I80" t="s">
        <v>314</v>
      </c>
      <c r="J80" t="s">
        <v>315</v>
      </c>
      <c r="K80" t="s">
        <v>316</v>
      </c>
      <c r="L80">
        <v>1367</v>
      </c>
      <c r="N80">
        <v>1011</v>
      </c>
      <c r="O80" t="s">
        <v>269</v>
      </c>
      <c r="P80" t="s">
        <v>269</v>
      </c>
      <c r="Q80">
        <v>1</v>
      </c>
      <c r="W80">
        <v>0</v>
      </c>
      <c r="X80">
        <v>482200787</v>
      </c>
      <c r="Y80">
        <v>1.05</v>
      </c>
      <c r="AA80">
        <v>0</v>
      </c>
      <c r="AB80">
        <v>756.67</v>
      </c>
      <c r="AC80">
        <v>444.66</v>
      </c>
      <c r="AD80">
        <v>0</v>
      </c>
      <c r="AE80">
        <v>0</v>
      </c>
      <c r="AF80">
        <v>73</v>
      </c>
      <c r="AG80">
        <v>16.899999999999999</v>
      </c>
      <c r="AH80">
        <v>0</v>
      </c>
      <c r="AI80">
        <v>1</v>
      </c>
      <c r="AJ80">
        <v>9.9</v>
      </c>
      <c r="AK80">
        <v>25.13</v>
      </c>
      <c r="AL80">
        <v>1</v>
      </c>
      <c r="AN80">
        <v>0</v>
      </c>
      <c r="AO80">
        <v>1</v>
      </c>
      <c r="AP80">
        <v>0</v>
      </c>
      <c r="AQ80">
        <v>0</v>
      </c>
      <c r="AR80">
        <v>0</v>
      </c>
      <c r="AS80" t="s">
        <v>3</v>
      </c>
      <c r="AT80">
        <v>1.05</v>
      </c>
      <c r="AU80" t="s">
        <v>3</v>
      </c>
      <c r="AV80">
        <v>0</v>
      </c>
      <c r="AW80">
        <v>2</v>
      </c>
      <c r="AX80">
        <v>45748434</v>
      </c>
      <c r="AY80">
        <v>1</v>
      </c>
      <c r="AZ80">
        <v>0</v>
      </c>
      <c r="BA80">
        <v>80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X80">
        <f>Y80*Source!I102</f>
        <v>0.2142</v>
      </c>
      <c r="CY80">
        <f>AB80</f>
        <v>756.67</v>
      </c>
      <c r="CZ80">
        <f>AF80</f>
        <v>73</v>
      </c>
      <c r="DA80">
        <f>AJ80</f>
        <v>9.9</v>
      </c>
      <c r="DB80">
        <f>ROUND(ROUND(AT80*CZ80,2),6)</f>
        <v>76.650000000000006</v>
      </c>
      <c r="DC80">
        <f>ROUND(ROUND(AT80*AG80,2),6)</f>
        <v>17.75</v>
      </c>
    </row>
    <row r="81" spans="1:107" x14ac:dyDescent="0.2">
      <c r="A81">
        <f>ROW(Source!A102)</f>
        <v>102</v>
      </c>
      <c r="B81">
        <v>45747932</v>
      </c>
      <c r="C81">
        <v>45748432</v>
      </c>
      <c r="D81">
        <v>24931812</v>
      </c>
      <c r="E81">
        <v>1</v>
      </c>
      <c r="F81">
        <v>1</v>
      </c>
      <c r="G81">
        <v>24859158</v>
      </c>
      <c r="H81">
        <v>2</v>
      </c>
      <c r="I81" t="s">
        <v>294</v>
      </c>
      <c r="J81" t="s">
        <v>295</v>
      </c>
      <c r="K81" t="s">
        <v>296</v>
      </c>
      <c r="L81">
        <v>1367</v>
      </c>
      <c r="N81">
        <v>1011</v>
      </c>
      <c r="O81" t="s">
        <v>269</v>
      </c>
      <c r="P81" t="s">
        <v>269</v>
      </c>
      <c r="Q81">
        <v>1</v>
      </c>
      <c r="W81">
        <v>0</v>
      </c>
      <c r="X81">
        <v>366114799</v>
      </c>
      <c r="Y81">
        <v>1.32</v>
      </c>
      <c r="AA81">
        <v>0</v>
      </c>
      <c r="AB81">
        <v>2084.27</v>
      </c>
      <c r="AC81">
        <v>351.78</v>
      </c>
      <c r="AD81">
        <v>0</v>
      </c>
      <c r="AE81">
        <v>0</v>
      </c>
      <c r="AF81">
        <v>246.68</v>
      </c>
      <c r="AG81">
        <v>13.37</v>
      </c>
      <c r="AH81">
        <v>0</v>
      </c>
      <c r="AI81">
        <v>1</v>
      </c>
      <c r="AJ81">
        <v>8.07</v>
      </c>
      <c r="AK81">
        <v>25.13</v>
      </c>
      <c r="AL81">
        <v>1</v>
      </c>
      <c r="AN81">
        <v>0</v>
      </c>
      <c r="AO81">
        <v>1</v>
      </c>
      <c r="AP81">
        <v>0</v>
      </c>
      <c r="AQ81">
        <v>0</v>
      </c>
      <c r="AR81">
        <v>0</v>
      </c>
      <c r="AS81" t="s">
        <v>3</v>
      </c>
      <c r="AT81">
        <v>1.32</v>
      </c>
      <c r="AU81" t="s">
        <v>3</v>
      </c>
      <c r="AV81">
        <v>0</v>
      </c>
      <c r="AW81">
        <v>2</v>
      </c>
      <c r="AX81">
        <v>45748435</v>
      </c>
      <c r="AY81">
        <v>1</v>
      </c>
      <c r="AZ81">
        <v>0</v>
      </c>
      <c r="BA81">
        <v>81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CX81">
        <f>Y81*Source!I102</f>
        <v>0.26928000000000002</v>
      </c>
      <c r="CY81">
        <f>AB81</f>
        <v>2084.27</v>
      </c>
      <c r="CZ81">
        <f>AF81</f>
        <v>246.68</v>
      </c>
      <c r="DA81">
        <f>AJ81</f>
        <v>8.07</v>
      </c>
      <c r="DB81">
        <f>ROUND(ROUND(AT81*CZ81,2),6)</f>
        <v>325.62</v>
      </c>
      <c r="DC81">
        <f>ROUND(ROUND(AT81*AG81,2),6)</f>
        <v>17.649999999999999</v>
      </c>
    </row>
    <row r="82" spans="1:107" x14ac:dyDescent="0.2">
      <c r="A82">
        <f>ROW(Source!A102)</f>
        <v>102</v>
      </c>
      <c r="B82">
        <v>45747932</v>
      </c>
      <c r="C82">
        <v>45748432</v>
      </c>
      <c r="D82">
        <v>24911534</v>
      </c>
      <c r="E82">
        <v>1</v>
      </c>
      <c r="F82">
        <v>1</v>
      </c>
      <c r="G82">
        <v>24859158</v>
      </c>
      <c r="H82">
        <v>3</v>
      </c>
      <c r="I82" t="s">
        <v>172</v>
      </c>
      <c r="J82" t="s">
        <v>174</v>
      </c>
      <c r="K82" t="s">
        <v>173</v>
      </c>
      <c r="L82">
        <v>1327</v>
      </c>
      <c r="N82">
        <v>1005</v>
      </c>
      <c r="O82" t="s">
        <v>17</v>
      </c>
      <c r="P82" t="s">
        <v>17</v>
      </c>
      <c r="Q82">
        <v>1</v>
      </c>
      <c r="W82">
        <v>0</v>
      </c>
      <c r="X82">
        <v>-117340116</v>
      </c>
      <c r="Y82">
        <v>180</v>
      </c>
      <c r="AA82">
        <v>5365.61</v>
      </c>
      <c r="AB82">
        <v>0</v>
      </c>
      <c r="AC82">
        <v>0</v>
      </c>
      <c r="AD82">
        <v>0</v>
      </c>
      <c r="AE82">
        <v>2279.3200000000002</v>
      </c>
      <c r="AF82">
        <v>0</v>
      </c>
      <c r="AG82">
        <v>0</v>
      </c>
      <c r="AH82">
        <v>0</v>
      </c>
      <c r="AI82">
        <v>2.34</v>
      </c>
      <c r="AJ82">
        <v>1</v>
      </c>
      <c r="AK82">
        <v>1</v>
      </c>
      <c r="AL82">
        <v>1</v>
      </c>
      <c r="AN82">
        <v>0</v>
      </c>
      <c r="AO82">
        <v>0</v>
      </c>
      <c r="AP82">
        <v>1</v>
      </c>
      <c r="AQ82">
        <v>0</v>
      </c>
      <c r="AR82">
        <v>0</v>
      </c>
      <c r="AS82" t="s">
        <v>3</v>
      </c>
      <c r="AT82">
        <v>100</v>
      </c>
      <c r="AU82" t="s">
        <v>175</v>
      </c>
      <c r="AV82">
        <v>0</v>
      </c>
      <c r="AW82">
        <v>1</v>
      </c>
      <c r="AX82">
        <v>-1</v>
      </c>
      <c r="AY82">
        <v>0</v>
      </c>
      <c r="AZ82">
        <v>0</v>
      </c>
      <c r="BA82" t="s">
        <v>3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CX82">
        <f>Y82*Source!I102</f>
        <v>36.72</v>
      </c>
      <c r="CY82">
        <f>AA82</f>
        <v>5365.61</v>
      </c>
      <c r="CZ82">
        <f>AE82</f>
        <v>2279.3200000000002</v>
      </c>
      <c r="DA82">
        <f>AI82</f>
        <v>2.34</v>
      </c>
      <c r="DB82">
        <f>ROUND((ROUND(AT82*CZ82,2)*1.8),6)</f>
        <v>410277.6</v>
      </c>
      <c r="DC82">
        <f>ROUND((ROUND(AT82*AG82,2)*1.8),6)</f>
        <v>0</v>
      </c>
    </row>
    <row r="83" spans="1:107" x14ac:dyDescent="0.2">
      <c r="A83">
        <f>ROW(Source!A102)</f>
        <v>102</v>
      </c>
      <c r="B83">
        <v>45747932</v>
      </c>
      <c r="C83">
        <v>45748432</v>
      </c>
      <c r="D83">
        <v>24926016</v>
      </c>
      <c r="E83">
        <v>1</v>
      </c>
      <c r="F83">
        <v>1</v>
      </c>
      <c r="G83">
        <v>24859158</v>
      </c>
      <c r="H83">
        <v>3</v>
      </c>
      <c r="I83" t="s">
        <v>177</v>
      </c>
      <c r="J83" t="s">
        <v>179</v>
      </c>
      <c r="K83" t="s">
        <v>178</v>
      </c>
      <c r="L83">
        <v>1348</v>
      </c>
      <c r="N83">
        <v>1009</v>
      </c>
      <c r="O83" t="s">
        <v>44</v>
      </c>
      <c r="P83" t="s">
        <v>44</v>
      </c>
      <c r="Q83">
        <v>1000</v>
      </c>
      <c r="W83">
        <v>0</v>
      </c>
      <c r="X83">
        <v>-568000054</v>
      </c>
      <c r="Y83">
        <v>10</v>
      </c>
      <c r="AA83">
        <v>3748.48</v>
      </c>
      <c r="AB83">
        <v>0</v>
      </c>
      <c r="AC83">
        <v>0</v>
      </c>
      <c r="AD83">
        <v>0</v>
      </c>
      <c r="AE83">
        <v>470.47</v>
      </c>
      <c r="AF83">
        <v>0</v>
      </c>
      <c r="AG83">
        <v>0</v>
      </c>
      <c r="AH83">
        <v>0</v>
      </c>
      <c r="AI83">
        <v>7.92</v>
      </c>
      <c r="AJ83">
        <v>1</v>
      </c>
      <c r="AK83">
        <v>1</v>
      </c>
      <c r="AL83">
        <v>1</v>
      </c>
      <c r="AN83">
        <v>0</v>
      </c>
      <c r="AO83">
        <v>0</v>
      </c>
      <c r="AP83">
        <v>0</v>
      </c>
      <c r="AQ83">
        <v>0</v>
      </c>
      <c r="AR83">
        <v>0</v>
      </c>
      <c r="AS83" t="s">
        <v>3</v>
      </c>
      <c r="AT83">
        <v>10</v>
      </c>
      <c r="AU83" t="s">
        <v>3</v>
      </c>
      <c r="AV83">
        <v>0</v>
      </c>
      <c r="AW83">
        <v>1</v>
      </c>
      <c r="AX83">
        <v>-1</v>
      </c>
      <c r="AY83">
        <v>0</v>
      </c>
      <c r="AZ83">
        <v>0</v>
      </c>
      <c r="BA83" t="s">
        <v>3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CX83">
        <f>Y83*Source!I102</f>
        <v>2.04</v>
      </c>
      <c r="CY83">
        <f>AA83</f>
        <v>3748.48</v>
      </c>
      <c r="CZ83">
        <f>AE83</f>
        <v>470.47</v>
      </c>
      <c r="DA83">
        <f>AI83</f>
        <v>7.92</v>
      </c>
      <c r="DB83">
        <f t="shared" ref="DB83:DB114" si="9">ROUND(ROUND(AT83*CZ83,2),6)</f>
        <v>4704.7</v>
      </c>
      <c r="DC83">
        <f t="shared" ref="DC83:DC114" si="10">ROUND(ROUND(AT83*AG83,2),6)</f>
        <v>0</v>
      </c>
    </row>
    <row r="84" spans="1:107" x14ac:dyDescent="0.2">
      <c r="A84">
        <f>ROW(Source!A102)</f>
        <v>102</v>
      </c>
      <c r="B84">
        <v>45747932</v>
      </c>
      <c r="C84">
        <v>45748432</v>
      </c>
      <c r="D84">
        <v>24881026</v>
      </c>
      <c r="E84">
        <v>24859158</v>
      </c>
      <c r="F84">
        <v>1</v>
      </c>
      <c r="G84">
        <v>24859158</v>
      </c>
      <c r="H84">
        <v>3</v>
      </c>
      <c r="I84" t="s">
        <v>312</v>
      </c>
      <c r="J84" t="s">
        <v>3</v>
      </c>
      <c r="K84" t="s">
        <v>313</v>
      </c>
      <c r="L84">
        <v>1344</v>
      </c>
      <c r="N84">
        <v>1008</v>
      </c>
      <c r="O84" t="s">
        <v>278</v>
      </c>
      <c r="P84" t="s">
        <v>278</v>
      </c>
      <c r="Q84">
        <v>1</v>
      </c>
      <c r="W84">
        <v>0</v>
      </c>
      <c r="X84">
        <v>-94250534</v>
      </c>
      <c r="Y84">
        <v>3</v>
      </c>
      <c r="AA84">
        <v>1.01</v>
      </c>
      <c r="AB84">
        <v>0</v>
      </c>
      <c r="AC84">
        <v>0</v>
      </c>
      <c r="AD84">
        <v>0</v>
      </c>
      <c r="AE84">
        <v>1</v>
      </c>
      <c r="AF84">
        <v>0</v>
      </c>
      <c r="AG84">
        <v>0</v>
      </c>
      <c r="AH84">
        <v>0</v>
      </c>
      <c r="AI84">
        <v>1</v>
      </c>
      <c r="AJ84">
        <v>1</v>
      </c>
      <c r="AK84">
        <v>1</v>
      </c>
      <c r="AL84">
        <v>1</v>
      </c>
      <c r="AN84">
        <v>0</v>
      </c>
      <c r="AO84">
        <v>1</v>
      </c>
      <c r="AP84">
        <v>0</v>
      </c>
      <c r="AQ84">
        <v>0</v>
      </c>
      <c r="AR84">
        <v>0</v>
      </c>
      <c r="AS84" t="s">
        <v>3</v>
      </c>
      <c r="AT84">
        <v>3</v>
      </c>
      <c r="AU84" t="s">
        <v>3</v>
      </c>
      <c r="AV84">
        <v>0</v>
      </c>
      <c r="AW84">
        <v>2</v>
      </c>
      <c r="AX84">
        <v>45748438</v>
      </c>
      <c r="AY84">
        <v>1</v>
      </c>
      <c r="AZ84">
        <v>0</v>
      </c>
      <c r="BA84">
        <v>84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CX84">
        <f>Y84*Source!I102</f>
        <v>0.61199999999999999</v>
      </c>
      <c r="CY84">
        <f>AA84</f>
        <v>1.01</v>
      </c>
      <c r="CZ84">
        <f>AE84</f>
        <v>1</v>
      </c>
      <c r="DA84">
        <f>AI84</f>
        <v>1</v>
      </c>
      <c r="DB84">
        <f t="shared" si="9"/>
        <v>3</v>
      </c>
      <c r="DC84">
        <f t="shared" si="10"/>
        <v>0</v>
      </c>
    </row>
    <row r="85" spans="1:107" x14ac:dyDescent="0.2">
      <c r="A85">
        <f>ROW(Source!A107)</f>
        <v>107</v>
      </c>
      <c r="B85">
        <v>45748053</v>
      </c>
      <c r="C85">
        <v>45748441</v>
      </c>
      <c r="D85">
        <v>24859163</v>
      </c>
      <c r="E85">
        <v>24859158</v>
      </c>
      <c r="F85">
        <v>1</v>
      </c>
      <c r="G85">
        <v>24859158</v>
      </c>
      <c r="H85">
        <v>1</v>
      </c>
      <c r="I85" t="s">
        <v>263</v>
      </c>
      <c r="J85" t="s">
        <v>3</v>
      </c>
      <c r="K85" t="s">
        <v>264</v>
      </c>
      <c r="L85">
        <v>1191</v>
      </c>
      <c r="N85">
        <v>1013</v>
      </c>
      <c r="O85" t="s">
        <v>265</v>
      </c>
      <c r="P85" t="s">
        <v>265</v>
      </c>
      <c r="Q85">
        <v>1</v>
      </c>
      <c r="W85">
        <v>0</v>
      </c>
      <c r="X85">
        <v>476480486</v>
      </c>
      <c r="Y85">
        <v>32.9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1</v>
      </c>
      <c r="AJ85">
        <v>1</v>
      </c>
      <c r="AK85">
        <v>1</v>
      </c>
      <c r="AL85">
        <v>1</v>
      </c>
      <c r="AN85">
        <v>0</v>
      </c>
      <c r="AO85">
        <v>1</v>
      </c>
      <c r="AP85">
        <v>0</v>
      </c>
      <c r="AQ85">
        <v>0</v>
      </c>
      <c r="AR85">
        <v>0</v>
      </c>
      <c r="AS85" t="s">
        <v>3</v>
      </c>
      <c r="AT85">
        <v>32.9</v>
      </c>
      <c r="AU85" t="s">
        <v>3</v>
      </c>
      <c r="AV85">
        <v>1</v>
      </c>
      <c r="AW85">
        <v>2</v>
      </c>
      <c r="AX85">
        <v>45748442</v>
      </c>
      <c r="AY85">
        <v>1</v>
      </c>
      <c r="AZ85">
        <v>0</v>
      </c>
      <c r="BA85">
        <v>85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CX85">
        <f>Y85*Source!I107</f>
        <v>0.40269599999999994</v>
      </c>
      <c r="CY85">
        <f>AD85</f>
        <v>0</v>
      </c>
      <c r="CZ85">
        <f>AH85</f>
        <v>0</v>
      </c>
      <c r="DA85">
        <f>AL85</f>
        <v>1</v>
      </c>
      <c r="DB85">
        <f t="shared" si="9"/>
        <v>0</v>
      </c>
      <c r="DC85">
        <f t="shared" si="10"/>
        <v>0</v>
      </c>
    </row>
    <row r="86" spans="1:107" x14ac:dyDescent="0.2">
      <c r="A86">
        <f>ROW(Source!A107)</f>
        <v>107</v>
      </c>
      <c r="B86">
        <v>45748053</v>
      </c>
      <c r="C86">
        <v>45748441</v>
      </c>
      <c r="D86">
        <v>24932482</v>
      </c>
      <c r="E86">
        <v>1</v>
      </c>
      <c r="F86">
        <v>1</v>
      </c>
      <c r="G86">
        <v>24859158</v>
      </c>
      <c r="H86">
        <v>2</v>
      </c>
      <c r="I86" t="s">
        <v>317</v>
      </c>
      <c r="J86" t="s">
        <v>318</v>
      </c>
      <c r="K86" t="s">
        <v>319</v>
      </c>
      <c r="L86">
        <v>1367</v>
      </c>
      <c r="N86">
        <v>1011</v>
      </c>
      <c r="O86" t="s">
        <v>269</v>
      </c>
      <c r="P86" t="s">
        <v>269</v>
      </c>
      <c r="Q86">
        <v>1</v>
      </c>
      <c r="W86">
        <v>0</v>
      </c>
      <c r="X86">
        <v>-1931009994</v>
      </c>
      <c r="Y86">
        <v>25.2</v>
      </c>
      <c r="AA86">
        <v>0</v>
      </c>
      <c r="AB86">
        <v>31.85</v>
      </c>
      <c r="AC86">
        <v>14.89</v>
      </c>
      <c r="AD86">
        <v>0</v>
      </c>
      <c r="AE86">
        <v>0</v>
      </c>
      <c r="AF86">
        <v>31.85</v>
      </c>
      <c r="AG86">
        <v>14.89</v>
      </c>
      <c r="AH86">
        <v>0</v>
      </c>
      <c r="AI86">
        <v>1</v>
      </c>
      <c r="AJ86">
        <v>1</v>
      </c>
      <c r="AK86">
        <v>1</v>
      </c>
      <c r="AL86">
        <v>1</v>
      </c>
      <c r="AN86">
        <v>0</v>
      </c>
      <c r="AO86">
        <v>1</v>
      </c>
      <c r="AP86">
        <v>0</v>
      </c>
      <c r="AQ86">
        <v>0</v>
      </c>
      <c r="AR86">
        <v>0</v>
      </c>
      <c r="AS86" t="s">
        <v>3</v>
      </c>
      <c r="AT86">
        <v>25.2</v>
      </c>
      <c r="AU86" t="s">
        <v>3</v>
      </c>
      <c r="AV86">
        <v>0</v>
      </c>
      <c r="AW86">
        <v>2</v>
      </c>
      <c r="AX86">
        <v>45748443</v>
      </c>
      <c r="AY86">
        <v>1</v>
      </c>
      <c r="AZ86">
        <v>0</v>
      </c>
      <c r="BA86">
        <v>86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CX86">
        <f>Y86*Source!I107</f>
        <v>0.30844799999999994</v>
      </c>
      <c r="CY86">
        <f>AB86</f>
        <v>31.85</v>
      </c>
      <c r="CZ86">
        <f>AF86</f>
        <v>31.85</v>
      </c>
      <c r="DA86">
        <f>AJ86</f>
        <v>1</v>
      </c>
      <c r="DB86">
        <f t="shared" si="9"/>
        <v>802.62</v>
      </c>
      <c r="DC86">
        <f t="shared" si="10"/>
        <v>375.23</v>
      </c>
    </row>
    <row r="87" spans="1:107" x14ac:dyDescent="0.2">
      <c r="A87">
        <f>ROW(Source!A107)</f>
        <v>107</v>
      </c>
      <c r="B87">
        <v>45748053</v>
      </c>
      <c r="C87">
        <v>45748441</v>
      </c>
      <c r="D87">
        <v>24907493</v>
      </c>
      <c r="E87">
        <v>1</v>
      </c>
      <c r="F87">
        <v>1</v>
      </c>
      <c r="G87">
        <v>24859158</v>
      </c>
      <c r="H87">
        <v>3</v>
      </c>
      <c r="I87" t="s">
        <v>300</v>
      </c>
      <c r="J87" t="s">
        <v>301</v>
      </c>
      <c r="K87" t="s">
        <v>302</v>
      </c>
      <c r="L87">
        <v>1339</v>
      </c>
      <c r="N87">
        <v>1007</v>
      </c>
      <c r="O87" t="s">
        <v>150</v>
      </c>
      <c r="P87" t="s">
        <v>150</v>
      </c>
      <c r="Q87">
        <v>1</v>
      </c>
      <c r="W87">
        <v>0</v>
      </c>
      <c r="X87">
        <v>-862991314</v>
      </c>
      <c r="Y87">
        <v>0.3</v>
      </c>
      <c r="AA87">
        <v>7.07</v>
      </c>
      <c r="AB87">
        <v>0</v>
      </c>
      <c r="AC87">
        <v>0</v>
      </c>
      <c r="AD87">
        <v>0</v>
      </c>
      <c r="AE87">
        <v>7.07</v>
      </c>
      <c r="AF87">
        <v>0</v>
      </c>
      <c r="AG87">
        <v>0</v>
      </c>
      <c r="AH87">
        <v>0</v>
      </c>
      <c r="AI87">
        <v>1</v>
      </c>
      <c r="AJ87">
        <v>1</v>
      </c>
      <c r="AK87">
        <v>1</v>
      </c>
      <c r="AL87">
        <v>1</v>
      </c>
      <c r="AN87">
        <v>0</v>
      </c>
      <c r="AO87">
        <v>1</v>
      </c>
      <c r="AP87">
        <v>0</v>
      </c>
      <c r="AQ87">
        <v>0</v>
      </c>
      <c r="AR87">
        <v>0</v>
      </c>
      <c r="AS87" t="s">
        <v>3</v>
      </c>
      <c r="AT87">
        <v>0.3</v>
      </c>
      <c r="AU87" t="s">
        <v>3</v>
      </c>
      <c r="AV87">
        <v>0</v>
      </c>
      <c r="AW87">
        <v>2</v>
      </c>
      <c r="AX87">
        <v>45748444</v>
      </c>
      <c r="AY87">
        <v>1</v>
      </c>
      <c r="AZ87">
        <v>0</v>
      </c>
      <c r="BA87">
        <v>87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CX87">
        <f>Y87*Source!I107</f>
        <v>3.6719999999999995E-3</v>
      </c>
      <c r="CY87">
        <f>AA87</f>
        <v>7.07</v>
      </c>
      <c r="CZ87">
        <f>AE87</f>
        <v>7.07</v>
      </c>
      <c r="DA87">
        <f>AI87</f>
        <v>1</v>
      </c>
      <c r="DB87">
        <f t="shared" si="9"/>
        <v>2.12</v>
      </c>
      <c r="DC87">
        <f t="shared" si="10"/>
        <v>0</v>
      </c>
    </row>
    <row r="88" spans="1:107" x14ac:dyDescent="0.2">
      <c r="A88">
        <f>ROW(Source!A107)</f>
        <v>107</v>
      </c>
      <c r="B88">
        <v>45748053</v>
      </c>
      <c r="C88">
        <v>45748441</v>
      </c>
      <c r="D88">
        <v>24929726</v>
      </c>
      <c r="E88">
        <v>1</v>
      </c>
      <c r="F88">
        <v>1</v>
      </c>
      <c r="G88">
        <v>24859158</v>
      </c>
      <c r="H88">
        <v>3</v>
      </c>
      <c r="I88" t="s">
        <v>185</v>
      </c>
      <c r="J88" t="s">
        <v>188</v>
      </c>
      <c r="K88" t="s">
        <v>186</v>
      </c>
      <c r="L88">
        <v>1354</v>
      </c>
      <c r="N88">
        <v>1010</v>
      </c>
      <c r="O88" t="s">
        <v>187</v>
      </c>
      <c r="P88" t="s">
        <v>187</v>
      </c>
      <c r="Q88">
        <v>1</v>
      </c>
      <c r="W88">
        <v>0</v>
      </c>
      <c r="X88">
        <v>-1816805806</v>
      </c>
      <c r="Y88">
        <v>0.67</v>
      </c>
      <c r="AA88">
        <v>437.82</v>
      </c>
      <c r="AB88">
        <v>0</v>
      </c>
      <c r="AC88">
        <v>0</v>
      </c>
      <c r="AD88">
        <v>0</v>
      </c>
      <c r="AE88">
        <v>437.82</v>
      </c>
      <c r="AF88">
        <v>0</v>
      </c>
      <c r="AG88">
        <v>0</v>
      </c>
      <c r="AH88">
        <v>0</v>
      </c>
      <c r="AI88">
        <v>1</v>
      </c>
      <c r="AJ88">
        <v>1</v>
      </c>
      <c r="AK88">
        <v>1</v>
      </c>
      <c r="AL88">
        <v>1</v>
      </c>
      <c r="AN88">
        <v>0</v>
      </c>
      <c r="AO88">
        <v>0</v>
      </c>
      <c r="AP88">
        <v>0</v>
      </c>
      <c r="AQ88">
        <v>0</v>
      </c>
      <c r="AR88">
        <v>0</v>
      </c>
      <c r="AS88" t="s">
        <v>3</v>
      </c>
      <c r="AT88">
        <v>0.67</v>
      </c>
      <c r="AU88" t="s">
        <v>3</v>
      </c>
      <c r="AV88">
        <v>0</v>
      </c>
      <c r="AW88">
        <v>1</v>
      </c>
      <c r="AX88">
        <v>-1</v>
      </c>
      <c r="AY88">
        <v>0</v>
      </c>
      <c r="AZ88">
        <v>0</v>
      </c>
      <c r="BA88" t="s">
        <v>3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CX88">
        <f>Y88*Source!I107</f>
        <v>8.2007999999999994E-3</v>
      </c>
      <c r="CY88">
        <f>AA88</f>
        <v>437.82</v>
      </c>
      <c r="CZ88">
        <f>AE88</f>
        <v>437.82</v>
      </c>
      <c r="DA88">
        <f>AI88</f>
        <v>1</v>
      </c>
      <c r="DB88">
        <f t="shared" si="9"/>
        <v>293.33999999999997</v>
      </c>
      <c r="DC88">
        <f t="shared" si="10"/>
        <v>0</v>
      </c>
    </row>
    <row r="89" spans="1:107" x14ac:dyDescent="0.2">
      <c r="A89">
        <f>ROW(Source!A107)</f>
        <v>107</v>
      </c>
      <c r="B89">
        <v>45748053</v>
      </c>
      <c r="C89">
        <v>45748441</v>
      </c>
      <c r="D89">
        <v>24881026</v>
      </c>
      <c r="E89">
        <v>24859158</v>
      </c>
      <c r="F89">
        <v>1</v>
      </c>
      <c r="G89">
        <v>24859158</v>
      </c>
      <c r="H89">
        <v>3</v>
      </c>
      <c r="I89" t="s">
        <v>312</v>
      </c>
      <c r="J89" t="s">
        <v>3</v>
      </c>
      <c r="K89" t="s">
        <v>313</v>
      </c>
      <c r="L89">
        <v>1344</v>
      </c>
      <c r="N89">
        <v>1008</v>
      </c>
      <c r="O89" t="s">
        <v>278</v>
      </c>
      <c r="P89" t="s">
        <v>278</v>
      </c>
      <c r="Q89">
        <v>1</v>
      </c>
      <c r="W89">
        <v>0</v>
      </c>
      <c r="X89">
        <v>-94250534</v>
      </c>
      <c r="Y89">
        <v>18</v>
      </c>
      <c r="AA89">
        <v>1</v>
      </c>
      <c r="AB89">
        <v>0</v>
      </c>
      <c r="AC89">
        <v>0</v>
      </c>
      <c r="AD89">
        <v>0</v>
      </c>
      <c r="AE89">
        <v>1</v>
      </c>
      <c r="AF89">
        <v>0</v>
      </c>
      <c r="AG89">
        <v>0</v>
      </c>
      <c r="AH89">
        <v>0</v>
      </c>
      <c r="AI89">
        <v>1</v>
      </c>
      <c r="AJ89">
        <v>1</v>
      </c>
      <c r="AK89">
        <v>1</v>
      </c>
      <c r="AL89">
        <v>1</v>
      </c>
      <c r="AN89">
        <v>0</v>
      </c>
      <c r="AO89">
        <v>1</v>
      </c>
      <c r="AP89">
        <v>0</v>
      </c>
      <c r="AQ89">
        <v>0</v>
      </c>
      <c r="AR89">
        <v>0</v>
      </c>
      <c r="AS89" t="s">
        <v>3</v>
      </c>
      <c r="AT89">
        <v>18</v>
      </c>
      <c r="AU89" t="s">
        <v>3</v>
      </c>
      <c r="AV89">
        <v>0</v>
      </c>
      <c r="AW89">
        <v>2</v>
      </c>
      <c r="AX89">
        <v>45748446</v>
      </c>
      <c r="AY89">
        <v>1</v>
      </c>
      <c r="AZ89">
        <v>0</v>
      </c>
      <c r="BA89">
        <v>89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CX89">
        <f>Y89*Source!I107</f>
        <v>0.22031999999999999</v>
      </c>
      <c r="CY89">
        <f>AA89</f>
        <v>1</v>
      </c>
      <c r="CZ89">
        <f>AE89</f>
        <v>1</v>
      </c>
      <c r="DA89">
        <f>AI89</f>
        <v>1</v>
      </c>
      <c r="DB89">
        <f t="shared" si="9"/>
        <v>18</v>
      </c>
      <c r="DC89">
        <f t="shared" si="10"/>
        <v>0</v>
      </c>
    </row>
    <row r="90" spans="1:107" x14ac:dyDescent="0.2">
      <c r="A90">
        <f>ROW(Source!A108)</f>
        <v>108</v>
      </c>
      <c r="B90">
        <v>45747932</v>
      </c>
      <c r="C90">
        <v>45748441</v>
      </c>
      <c r="D90">
        <v>24859163</v>
      </c>
      <c r="E90">
        <v>24859158</v>
      </c>
      <c r="F90">
        <v>1</v>
      </c>
      <c r="G90">
        <v>24859158</v>
      </c>
      <c r="H90">
        <v>1</v>
      </c>
      <c r="I90" t="s">
        <v>263</v>
      </c>
      <c r="J90" t="s">
        <v>3</v>
      </c>
      <c r="K90" t="s">
        <v>264</v>
      </c>
      <c r="L90">
        <v>1191</v>
      </c>
      <c r="N90">
        <v>1013</v>
      </c>
      <c r="O90" t="s">
        <v>265</v>
      </c>
      <c r="P90" t="s">
        <v>265</v>
      </c>
      <c r="Q90">
        <v>1</v>
      </c>
      <c r="W90">
        <v>0</v>
      </c>
      <c r="X90">
        <v>476480486</v>
      </c>
      <c r="Y90">
        <v>32.9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1</v>
      </c>
      <c r="AJ90">
        <v>1</v>
      </c>
      <c r="AK90">
        <v>1</v>
      </c>
      <c r="AL90">
        <v>1</v>
      </c>
      <c r="AN90">
        <v>0</v>
      </c>
      <c r="AO90">
        <v>1</v>
      </c>
      <c r="AP90">
        <v>0</v>
      </c>
      <c r="AQ90">
        <v>0</v>
      </c>
      <c r="AR90">
        <v>0</v>
      </c>
      <c r="AS90" t="s">
        <v>3</v>
      </c>
      <c r="AT90">
        <v>32.9</v>
      </c>
      <c r="AU90" t="s">
        <v>3</v>
      </c>
      <c r="AV90">
        <v>1</v>
      </c>
      <c r="AW90">
        <v>2</v>
      </c>
      <c r="AX90">
        <v>45748442</v>
      </c>
      <c r="AY90">
        <v>1</v>
      </c>
      <c r="AZ90">
        <v>0</v>
      </c>
      <c r="BA90">
        <v>90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CX90">
        <f>Y90*Source!I108</f>
        <v>0.40269599999999994</v>
      </c>
      <c r="CY90">
        <f>AD90</f>
        <v>0</v>
      </c>
      <c r="CZ90">
        <f>AH90</f>
        <v>0</v>
      </c>
      <c r="DA90">
        <f>AL90</f>
        <v>1</v>
      </c>
      <c r="DB90">
        <f t="shared" si="9"/>
        <v>0</v>
      </c>
      <c r="DC90">
        <f t="shared" si="10"/>
        <v>0</v>
      </c>
    </row>
    <row r="91" spans="1:107" x14ac:dyDescent="0.2">
      <c r="A91">
        <f>ROW(Source!A108)</f>
        <v>108</v>
      </c>
      <c r="B91">
        <v>45747932</v>
      </c>
      <c r="C91">
        <v>45748441</v>
      </c>
      <c r="D91">
        <v>24932482</v>
      </c>
      <c r="E91">
        <v>1</v>
      </c>
      <c r="F91">
        <v>1</v>
      </c>
      <c r="G91">
        <v>24859158</v>
      </c>
      <c r="H91">
        <v>2</v>
      </c>
      <c r="I91" t="s">
        <v>317</v>
      </c>
      <c r="J91" t="s">
        <v>318</v>
      </c>
      <c r="K91" t="s">
        <v>319</v>
      </c>
      <c r="L91">
        <v>1367</v>
      </c>
      <c r="N91">
        <v>1011</v>
      </c>
      <c r="O91" t="s">
        <v>269</v>
      </c>
      <c r="P91" t="s">
        <v>269</v>
      </c>
      <c r="Q91">
        <v>1</v>
      </c>
      <c r="W91">
        <v>0</v>
      </c>
      <c r="X91">
        <v>-1931009994</v>
      </c>
      <c r="Y91">
        <v>25.2</v>
      </c>
      <c r="AA91">
        <v>0</v>
      </c>
      <c r="AB91">
        <v>529.22</v>
      </c>
      <c r="AC91">
        <v>391.77</v>
      </c>
      <c r="AD91">
        <v>0</v>
      </c>
      <c r="AE91">
        <v>0</v>
      </c>
      <c r="AF91">
        <v>31.85</v>
      </c>
      <c r="AG91">
        <v>14.89</v>
      </c>
      <c r="AH91">
        <v>0</v>
      </c>
      <c r="AI91">
        <v>1</v>
      </c>
      <c r="AJ91">
        <v>15.87</v>
      </c>
      <c r="AK91">
        <v>25.13</v>
      </c>
      <c r="AL91">
        <v>1</v>
      </c>
      <c r="AN91">
        <v>0</v>
      </c>
      <c r="AO91">
        <v>1</v>
      </c>
      <c r="AP91">
        <v>0</v>
      </c>
      <c r="AQ91">
        <v>0</v>
      </c>
      <c r="AR91">
        <v>0</v>
      </c>
      <c r="AS91" t="s">
        <v>3</v>
      </c>
      <c r="AT91">
        <v>25.2</v>
      </c>
      <c r="AU91" t="s">
        <v>3</v>
      </c>
      <c r="AV91">
        <v>0</v>
      </c>
      <c r="AW91">
        <v>2</v>
      </c>
      <c r="AX91">
        <v>45748443</v>
      </c>
      <c r="AY91">
        <v>1</v>
      </c>
      <c r="AZ91">
        <v>0</v>
      </c>
      <c r="BA91">
        <v>91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CX91">
        <f>Y91*Source!I108</f>
        <v>0.30844799999999994</v>
      </c>
      <c r="CY91">
        <f>AB91</f>
        <v>529.22</v>
      </c>
      <c r="CZ91">
        <f>AF91</f>
        <v>31.85</v>
      </c>
      <c r="DA91">
        <f>AJ91</f>
        <v>15.87</v>
      </c>
      <c r="DB91">
        <f t="shared" si="9"/>
        <v>802.62</v>
      </c>
      <c r="DC91">
        <f t="shared" si="10"/>
        <v>375.23</v>
      </c>
    </row>
    <row r="92" spans="1:107" x14ac:dyDescent="0.2">
      <c r="A92">
        <f>ROW(Source!A108)</f>
        <v>108</v>
      </c>
      <c r="B92">
        <v>45747932</v>
      </c>
      <c r="C92">
        <v>45748441</v>
      </c>
      <c r="D92">
        <v>24907493</v>
      </c>
      <c r="E92">
        <v>1</v>
      </c>
      <c r="F92">
        <v>1</v>
      </c>
      <c r="G92">
        <v>24859158</v>
      </c>
      <c r="H92">
        <v>3</v>
      </c>
      <c r="I92" t="s">
        <v>300</v>
      </c>
      <c r="J92" t="s">
        <v>301</v>
      </c>
      <c r="K92" t="s">
        <v>302</v>
      </c>
      <c r="L92">
        <v>1339</v>
      </c>
      <c r="N92">
        <v>1007</v>
      </c>
      <c r="O92" t="s">
        <v>150</v>
      </c>
      <c r="P92" t="s">
        <v>150</v>
      </c>
      <c r="Q92">
        <v>1</v>
      </c>
      <c r="W92">
        <v>0</v>
      </c>
      <c r="X92">
        <v>-862991314</v>
      </c>
      <c r="Y92">
        <v>0.3</v>
      </c>
      <c r="AA92">
        <v>35.49</v>
      </c>
      <c r="AB92">
        <v>0</v>
      </c>
      <c r="AC92">
        <v>0</v>
      </c>
      <c r="AD92">
        <v>0</v>
      </c>
      <c r="AE92">
        <v>7.07</v>
      </c>
      <c r="AF92">
        <v>0</v>
      </c>
      <c r="AG92">
        <v>0</v>
      </c>
      <c r="AH92">
        <v>0</v>
      </c>
      <c r="AI92">
        <v>4.99</v>
      </c>
      <c r="AJ92">
        <v>1</v>
      </c>
      <c r="AK92">
        <v>1</v>
      </c>
      <c r="AL92">
        <v>1</v>
      </c>
      <c r="AN92">
        <v>0</v>
      </c>
      <c r="AO92">
        <v>1</v>
      </c>
      <c r="AP92">
        <v>0</v>
      </c>
      <c r="AQ92">
        <v>0</v>
      </c>
      <c r="AR92">
        <v>0</v>
      </c>
      <c r="AS92" t="s">
        <v>3</v>
      </c>
      <c r="AT92">
        <v>0.3</v>
      </c>
      <c r="AU92" t="s">
        <v>3</v>
      </c>
      <c r="AV92">
        <v>0</v>
      </c>
      <c r="AW92">
        <v>2</v>
      </c>
      <c r="AX92">
        <v>45748444</v>
      </c>
      <c r="AY92">
        <v>1</v>
      </c>
      <c r="AZ92">
        <v>0</v>
      </c>
      <c r="BA92">
        <v>92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CX92">
        <f>Y92*Source!I108</f>
        <v>3.6719999999999995E-3</v>
      </c>
      <c r="CY92">
        <f>AA92</f>
        <v>35.49</v>
      </c>
      <c r="CZ92">
        <f>AE92</f>
        <v>7.07</v>
      </c>
      <c r="DA92">
        <f>AI92</f>
        <v>4.99</v>
      </c>
      <c r="DB92">
        <f t="shared" si="9"/>
        <v>2.12</v>
      </c>
      <c r="DC92">
        <f t="shared" si="10"/>
        <v>0</v>
      </c>
    </row>
    <row r="93" spans="1:107" x14ac:dyDescent="0.2">
      <c r="A93">
        <f>ROW(Source!A108)</f>
        <v>108</v>
      </c>
      <c r="B93">
        <v>45747932</v>
      </c>
      <c r="C93">
        <v>45748441</v>
      </c>
      <c r="D93">
        <v>24929726</v>
      </c>
      <c r="E93">
        <v>1</v>
      </c>
      <c r="F93">
        <v>1</v>
      </c>
      <c r="G93">
        <v>24859158</v>
      </c>
      <c r="H93">
        <v>3</v>
      </c>
      <c r="I93" t="s">
        <v>185</v>
      </c>
      <c r="J93" t="s">
        <v>188</v>
      </c>
      <c r="K93" t="s">
        <v>186</v>
      </c>
      <c r="L93">
        <v>1354</v>
      </c>
      <c r="N93">
        <v>1010</v>
      </c>
      <c r="O93" t="s">
        <v>187</v>
      </c>
      <c r="P93" t="s">
        <v>187</v>
      </c>
      <c r="Q93">
        <v>1</v>
      </c>
      <c r="W93">
        <v>0</v>
      </c>
      <c r="X93">
        <v>-1816805806</v>
      </c>
      <c r="Y93">
        <v>0.67</v>
      </c>
      <c r="AA93">
        <v>797.21</v>
      </c>
      <c r="AB93">
        <v>0</v>
      </c>
      <c r="AC93">
        <v>0</v>
      </c>
      <c r="AD93">
        <v>0</v>
      </c>
      <c r="AE93">
        <v>437.82</v>
      </c>
      <c r="AF93">
        <v>0</v>
      </c>
      <c r="AG93">
        <v>0</v>
      </c>
      <c r="AH93">
        <v>0</v>
      </c>
      <c r="AI93">
        <v>1.81</v>
      </c>
      <c r="AJ93">
        <v>1</v>
      </c>
      <c r="AK93">
        <v>1</v>
      </c>
      <c r="AL93">
        <v>1</v>
      </c>
      <c r="AN93">
        <v>0</v>
      </c>
      <c r="AO93">
        <v>0</v>
      </c>
      <c r="AP93">
        <v>0</v>
      </c>
      <c r="AQ93">
        <v>0</v>
      </c>
      <c r="AR93">
        <v>0</v>
      </c>
      <c r="AS93" t="s">
        <v>3</v>
      </c>
      <c r="AT93">
        <v>0.67</v>
      </c>
      <c r="AU93" t="s">
        <v>3</v>
      </c>
      <c r="AV93">
        <v>0</v>
      </c>
      <c r="AW93">
        <v>1</v>
      </c>
      <c r="AX93">
        <v>-1</v>
      </c>
      <c r="AY93">
        <v>0</v>
      </c>
      <c r="AZ93">
        <v>0</v>
      </c>
      <c r="BA93" t="s">
        <v>3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CX93">
        <f>Y93*Source!I108</f>
        <v>8.2007999999999994E-3</v>
      </c>
      <c r="CY93">
        <f>AA93</f>
        <v>797.21</v>
      </c>
      <c r="CZ93">
        <f>AE93</f>
        <v>437.82</v>
      </c>
      <c r="DA93">
        <f>AI93</f>
        <v>1.81</v>
      </c>
      <c r="DB93">
        <f t="shared" si="9"/>
        <v>293.33999999999997</v>
      </c>
      <c r="DC93">
        <f t="shared" si="10"/>
        <v>0</v>
      </c>
    </row>
    <row r="94" spans="1:107" x14ac:dyDescent="0.2">
      <c r="A94">
        <f>ROW(Source!A108)</f>
        <v>108</v>
      </c>
      <c r="B94">
        <v>45747932</v>
      </c>
      <c r="C94">
        <v>45748441</v>
      </c>
      <c r="D94">
        <v>24881026</v>
      </c>
      <c r="E94">
        <v>24859158</v>
      </c>
      <c r="F94">
        <v>1</v>
      </c>
      <c r="G94">
        <v>24859158</v>
      </c>
      <c r="H94">
        <v>3</v>
      </c>
      <c r="I94" t="s">
        <v>312</v>
      </c>
      <c r="J94" t="s">
        <v>3</v>
      </c>
      <c r="K94" t="s">
        <v>313</v>
      </c>
      <c r="L94">
        <v>1344</v>
      </c>
      <c r="N94">
        <v>1008</v>
      </c>
      <c r="O94" t="s">
        <v>278</v>
      </c>
      <c r="P94" t="s">
        <v>278</v>
      </c>
      <c r="Q94">
        <v>1</v>
      </c>
      <c r="W94">
        <v>0</v>
      </c>
      <c r="X94">
        <v>-94250534</v>
      </c>
      <c r="Y94">
        <v>18</v>
      </c>
      <c r="AA94">
        <v>1.01</v>
      </c>
      <c r="AB94">
        <v>0</v>
      </c>
      <c r="AC94">
        <v>0</v>
      </c>
      <c r="AD94">
        <v>0</v>
      </c>
      <c r="AE94">
        <v>1</v>
      </c>
      <c r="AF94">
        <v>0</v>
      </c>
      <c r="AG94">
        <v>0</v>
      </c>
      <c r="AH94">
        <v>0</v>
      </c>
      <c r="AI94">
        <v>1</v>
      </c>
      <c r="AJ94">
        <v>1</v>
      </c>
      <c r="AK94">
        <v>1</v>
      </c>
      <c r="AL94">
        <v>1</v>
      </c>
      <c r="AN94">
        <v>0</v>
      </c>
      <c r="AO94">
        <v>1</v>
      </c>
      <c r="AP94">
        <v>0</v>
      </c>
      <c r="AQ94">
        <v>0</v>
      </c>
      <c r="AR94">
        <v>0</v>
      </c>
      <c r="AS94" t="s">
        <v>3</v>
      </c>
      <c r="AT94">
        <v>18</v>
      </c>
      <c r="AU94" t="s">
        <v>3</v>
      </c>
      <c r="AV94">
        <v>0</v>
      </c>
      <c r="AW94">
        <v>2</v>
      </c>
      <c r="AX94">
        <v>45748446</v>
      </c>
      <c r="AY94">
        <v>1</v>
      </c>
      <c r="AZ94">
        <v>0</v>
      </c>
      <c r="BA94">
        <v>94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CX94">
        <f>Y94*Source!I108</f>
        <v>0.22031999999999999</v>
      </c>
      <c r="CY94">
        <f>AA94</f>
        <v>1.01</v>
      </c>
      <c r="CZ94">
        <f>AE94</f>
        <v>1</v>
      </c>
      <c r="DA94">
        <f>AI94</f>
        <v>1</v>
      </c>
      <c r="DB94">
        <f t="shared" si="9"/>
        <v>18</v>
      </c>
      <c r="DC94">
        <f t="shared" si="10"/>
        <v>0</v>
      </c>
    </row>
    <row r="95" spans="1:107" x14ac:dyDescent="0.2">
      <c r="A95">
        <f>ROW(Source!A148)</f>
        <v>148</v>
      </c>
      <c r="B95">
        <v>45748053</v>
      </c>
      <c r="C95">
        <v>45748513</v>
      </c>
      <c r="D95">
        <v>24859163</v>
      </c>
      <c r="E95">
        <v>24859158</v>
      </c>
      <c r="F95">
        <v>1</v>
      </c>
      <c r="G95">
        <v>24859158</v>
      </c>
      <c r="H95">
        <v>1</v>
      </c>
      <c r="I95" t="s">
        <v>263</v>
      </c>
      <c r="J95" t="s">
        <v>3</v>
      </c>
      <c r="K95" t="s">
        <v>264</v>
      </c>
      <c r="L95">
        <v>1191</v>
      </c>
      <c r="N95">
        <v>1013</v>
      </c>
      <c r="O95" t="s">
        <v>265</v>
      </c>
      <c r="P95" t="s">
        <v>265</v>
      </c>
      <c r="Q95">
        <v>1</v>
      </c>
      <c r="W95">
        <v>0</v>
      </c>
      <c r="X95">
        <v>476480486</v>
      </c>
      <c r="Y95">
        <v>1.38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1</v>
      </c>
      <c r="AJ95">
        <v>1</v>
      </c>
      <c r="AK95">
        <v>1</v>
      </c>
      <c r="AL95">
        <v>1</v>
      </c>
      <c r="AN95">
        <v>0</v>
      </c>
      <c r="AO95">
        <v>1</v>
      </c>
      <c r="AP95">
        <v>0</v>
      </c>
      <c r="AQ95">
        <v>0</v>
      </c>
      <c r="AR95">
        <v>0</v>
      </c>
      <c r="AS95" t="s">
        <v>3</v>
      </c>
      <c r="AT95">
        <v>1.38</v>
      </c>
      <c r="AU95" t="s">
        <v>3</v>
      </c>
      <c r="AV95">
        <v>1</v>
      </c>
      <c r="AW95">
        <v>2</v>
      </c>
      <c r="AX95">
        <v>45748569</v>
      </c>
      <c r="AY95">
        <v>1</v>
      </c>
      <c r="AZ95">
        <v>0</v>
      </c>
      <c r="BA95">
        <v>95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CX95">
        <f>Y95*Source!I148</f>
        <v>0.37756799999999996</v>
      </c>
      <c r="CY95">
        <f>AD95</f>
        <v>0</v>
      </c>
      <c r="CZ95">
        <f>AH95</f>
        <v>0</v>
      </c>
      <c r="DA95">
        <f>AL95</f>
        <v>1</v>
      </c>
      <c r="DB95">
        <f t="shared" si="9"/>
        <v>0</v>
      </c>
      <c r="DC95">
        <f t="shared" si="10"/>
        <v>0</v>
      </c>
    </row>
    <row r="96" spans="1:107" x14ac:dyDescent="0.2">
      <c r="A96">
        <f>ROW(Source!A148)</f>
        <v>148</v>
      </c>
      <c r="B96">
        <v>45748053</v>
      </c>
      <c r="C96">
        <v>45748513</v>
      </c>
      <c r="D96">
        <v>24931541</v>
      </c>
      <c r="E96">
        <v>1</v>
      </c>
      <c r="F96">
        <v>1</v>
      </c>
      <c r="G96">
        <v>24859158</v>
      </c>
      <c r="H96">
        <v>2</v>
      </c>
      <c r="I96" t="s">
        <v>320</v>
      </c>
      <c r="J96" t="s">
        <v>321</v>
      </c>
      <c r="K96" t="s">
        <v>322</v>
      </c>
      <c r="L96">
        <v>1367</v>
      </c>
      <c r="N96">
        <v>1011</v>
      </c>
      <c r="O96" t="s">
        <v>269</v>
      </c>
      <c r="P96" t="s">
        <v>269</v>
      </c>
      <c r="Q96">
        <v>1</v>
      </c>
      <c r="W96">
        <v>0</v>
      </c>
      <c r="X96">
        <v>781556702</v>
      </c>
      <c r="Y96">
        <v>3.9874999999999998</v>
      </c>
      <c r="AA96">
        <v>0</v>
      </c>
      <c r="AB96">
        <v>162.4</v>
      </c>
      <c r="AC96">
        <v>28.6</v>
      </c>
      <c r="AD96">
        <v>0</v>
      </c>
      <c r="AE96">
        <v>0</v>
      </c>
      <c r="AF96">
        <v>162.4</v>
      </c>
      <c r="AG96">
        <v>28.6</v>
      </c>
      <c r="AH96">
        <v>0</v>
      </c>
      <c r="AI96">
        <v>1</v>
      </c>
      <c r="AJ96">
        <v>1</v>
      </c>
      <c r="AK96">
        <v>1</v>
      </c>
      <c r="AL96">
        <v>1</v>
      </c>
      <c r="AN96">
        <v>0</v>
      </c>
      <c r="AO96">
        <v>1</v>
      </c>
      <c r="AP96">
        <v>0</v>
      </c>
      <c r="AQ96">
        <v>0</v>
      </c>
      <c r="AR96">
        <v>0</v>
      </c>
      <c r="AS96" t="s">
        <v>3</v>
      </c>
      <c r="AT96">
        <v>3.9874999999999998</v>
      </c>
      <c r="AU96" t="s">
        <v>3</v>
      </c>
      <c r="AV96">
        <v>0</v>
      </c>
      <c r="AW96">
        <v>2</v>
      </c>
      <c r="AX96">
        <v>45748570</v>
      </c>
      <c r="AY96">
        <v>1</v>
      </c>
      <c r="AZ96">
        <v>0</v>
      </c>
      <c r="BA96">
        <v>96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CX96">
        <f>Y96*Source!I148</f>
        <v>1.0909800000000001</v>
      </c>
      <c r="CY96">
        <f>AB96</f>
        <v>162.4</v>
      </c>
      <c r="CZ96">
        <f>AF96</f>
        <v>162.4</v>
      </c>
      <c r="DA96">
        <f>AJ96</f>
        <v>1</v>
      </c>
      <c r="DB96">
        <f t="shared" si="9"/>
        <v>647.57000000000005</v>
      </c>
      <c r="DC96">
        <f t="shared" si="10"/>
        <v>114.04</v>
      </c>
    </row>
    <row r="97" spans="1:107" x14ac:dyDescent="0.2">
      <c r="A97">
        <f>ROW(Source!A148)</f>
        <v>148</v>
      </c>
      <c r="B97">
        <v>45748053</v>
      </c>
      <c r="C97">
        <v>45748513</v>
      </c>
      <c r="D97">
        <v>24931566</v>
      </c>
      <c r="E97">
        <v>1</v>
      </c>
      <c r="F97">
        <v>1</v>
      </c>
      <c r="G97">
        <v>24859158</v>
      </c>
      <c r="H97">
        <v>2</v>
      </c>
      <c r="I97" t="s">
        <v>323</v>
      </c>
      <c r="J97" t="s">
        <v>324</v>
      </c>
      <c r="K97" t="s">
        <v>325</v>
      </c>
      <c r="L97">
        <v>1367</v>
      </c>
      <c r="N97">
        <v>1011</v>
      </c>
      <c r="O97" t="s">
        <v>269</v>
      </c>
      <c r="P97" t="s">
        <v>269</v>
      </c>
      <c r="Q97">
        <v>1</v>
      </c>
      <c r="W97">
        <v>0</v>
      </c>
      <c r="X97">
        <v>1387947568</v>
      </c>
      <c r="Y97">
        <v>0.997</v>
      </c>
      <c r="AA97">
        <v>0</v>
      </c>
      <c r="AB97">
        <v>161.49</v>
      </c>
      <c r="AC97">
        <v>17.7</v>
      </c>
      <c r="AD97">
        <v>0</v>
      </c>
      <c r="AE97">
        <v>0</v>
      </c>
      <c r="AF97">
        <v>161.49</v>
      </c>
      <c r="AG97">
        <v>17.7</v>
      </c>
      <c r="AH97">
        <v>0</v>
      </c>
      <c r="AI97">
        <v>1</v>
      </c>
      <c r="AJ97">
        <v>1</v>
      </c>
      <c r="AK97">
        <v>1</v>
      </c>
      <c r="AL97">
        <v>1</v>
      </c>
      <c r="AN97">
        <v>0</v>
      </c>
      <c r="AO97">
        <v>1</v>
      </c>
      <c r="AP97">
        <v>0</v>
      </c>
      <c r="AQ97">
        <v>0</v>
      </c>
      <c r="AR97">
        <v>0</v>
      </c>
      <c r="AS97" t="s">
        <v>3</v>
      </c>
      <c r="AT97">
        <v>0.997</v>
      </c>
      <c r="AU97" t="s">
        <v>3</v>
      </c>
      <c r="AV97">
        <v>0</v>
      </c>
      <c r="AW97">
        <v>2</v>
      </c>
      <c r="AX97">
        <v>45748571</v>
      </c>
      <c r="AY97">
        <v>1</v>
      </c>
      <c r="AZ97">
        <v>0</v>
      </c>
      <c r="BA97">
        <v>97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CX97">
        <f>Y97*Source!I148</f>
        <v>0.2727792</v>
      </c>
      <c r="CY97">
        <f>AB97</f>
        <v>161.49</v>
      </c>
      <c r="CZ97">
        <f>AF97</f>
        <v>161.49</v>
      </c>
      <c r="DA97">
        <f>AJ97</f>
        <v>1</v>
      </c>
      <c r="DB97">
        <f t="shared" si="9"/>
        <v>161.01</v>
      </c>
      <c r="DC97">
        <f t="shared" si="10"/>
        <v>17.649999999999999</v>
      </c>
    </row>
    <row r="98" spans="1:107" x14ac:dyDescent="0.2">
      <c r="A98">
        <f>ROW(Source!A149)</f>
        <v>149</v>
      </c>
      <c r="B98">
        <v>45747932</v>
      </c>
      <c r="C98">
        <v>45748513</v>
      </c>
      <c r="D98">
        <v>24859163</v>
      </c>
      <c r="E98">
        <v>24859158</v>
      </c>
      <c r="F98">
        <v>1</v>
      </c>
      <c r="G98">
        <v>24859158</v>
      </c>
      <c r="H98">
        <v>1</v>
      </c>
      <c r="I98" t="s">
        <v>263</v>
      </c>
      <c r="J98" t="s">
        <v>3</v>
      </c>
      <c r="K98" t="s">
        <v>264</v>
      </c>
      <c r="L98">
        <v>1191</v>
      </c>
      <c r="N98">
        <v>1013</v>
      </c>
      <c r="O98" t="s">
        <v>265</v>
      </c>
      <c r="P98" t="s">
        <v>265</v>
      </c>
      <c r="Q98">
        <v>1</v>
      </c>
      <c r="W98">
        <v>0</v>
      </c>
      <c r="X98">
        <v>476480486</v>
      </c>
      <c r="Y98">
        <v>1.38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1</v>
      </c>
      <c r="AJ98">
        <v>1</v>
      </c>
      <c r="AK98">
        <v>1</v>
      </c>
      <c r="AL98">
        <v>1</v>
      </c>
      <c r="AN98">
        <v>0</v>
      </c>
      <c r="AO98">
        <v>1</v>
      </c>
      <c r="AP98">
        <v>0</v>
      </c>
      <c r="AQ98">
        <v>0</v>
      </c>
      <c r="AR98">
        <v>0</v>
      </c>
      <c r="AS98" t="s">
        <v>3</v>
      </c>
      <c r="AT98">
        <v>1.38</v>
      </c>
      <c r="AU98" t="s">
        <v>3</v>
      </c>
      <c r="AV98">
        <v>1</v>
      </c>
      <c r="AW98">
        <v>2</v>
      </c>
      <c r="AX98">
        <v>45748569</v>
      </c>
      <c r="AY98">
        <v>1</v>
      </c>
      <c r="AZ98">
        <v>0</v>
      </c>
      <c r="BA98">
        <v>98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CX98">
        <f>Y98*Source!I149</f>
        <v>0.37756799999999996</v>
      </c>
      <c r="CY98">
        <f>AD98</f>
        <v>0</v>
      </c>
      <c r="CZ98">
        <f>AH98</f>
        <v>0</v>
      </c>
      <c r="DA98">
        <f>AL98</f>
        <v>1</v>
      </c>
      <c r="DB98">
        <f t="shared" si="9"/>
        <v>0</v>
      </c>
      <c r="DC98">
        <f t="shared" si="10"/>
        <v>0</v>
      </c>
    </row>
    <row r="99" spans="1:107" x14ac:dyDescent="0.2">
      <c r="A99">
        <f>ROW(Source!A149)</f>
        <v>149</v>
      </c>
      <c r="B99">
        <v>45747932</v>
      </c>
      <c r="C99">
        <v>45748513</v>
      </c>
      <c r="D99">
        <v>24931541</v>
      </c>
      <c r="E99">
        <v>1</v>
      </c>
      <c r="F99">
        <v>1</v>
      </c>
      <c r="G99">
        <v>24859158</v>
      </c>
      <c r="H99">
        <v>2</v>
      </c>
      <c r="I99" t="s">
        <v>320</v>
      </c>
      <c r="J99" t="s">
        <v>321</v>
      </c>
      <c r="K99" t="s">
        <v>322</v>
      </c>
      <c r="L99">
        <v>1367</v>
      </c>
      <c r="N99">
        <v>1011</v>
      </c>
      <c r="O99" t="s">
        <v>269</v>
      </c>
      <c r="P99" t="s">
        <v>269</v>
      </c>
      <c r="Q99">
        <v>1</v>
      </c>
      <c r="W99">
        <v>0</v>
      </c>
      <c r="X99">
        <v>781556702</v>
      </c>
      <c r="Y99">
        <v>3.9874999999999998</v>
      </c>
      <c r="AA99">
        <v>0</v>
      </c>
      <c r="AB99">
        <v>1957.1</v>
      </c>
      <c r="AC99">
        <v>856.71</v>
      </c>
      <c r="AD99">
        <v>0</v>
      </c>
      <c r="AE99">
        <v>0</v>
      </c>
      <c r="AF99">
        <v>162.4</v>
      </c>
      <c r="AG99">
        <v>28.6</v>
      </c>
      <c r="AH99">
        <v>0</v>
      </c>
      <c r="AI99">
        <v>1</v>
      </c>
      <c r="AJ99">
        <v>10.11</v>
      </c>
      <c r="AK99">
        <v>25.13</v>
      </c>
      <c r="AL99">
        <v>1</v>
      </c>
      <c r="AN99">
        <v>0</v>
      </c>
      <c r="AO99">
        <v>1</v>
      </c>
      <c r="AP99">
        <v>0</v>
      </c>
      <c r="AQ99">
        <v>0</v>
      </c>
      <c r="AR99">
        <v>0</v>
      </c>
      <c r="AS99" t="s">
        <v>3</v>
      </c>
      <c r="AT99">
        <v>3.9874999999999998</v>
      </c>
      <c r="AU99" t="s">
        <v>3</v>
      </c>
      <c r="AV99">
        <v>0</v>
      </c>
      <c r="AW99">
        <v>2</v>
      </c>
      <c r="AX99">
        <v>45748570</v>
      </c>
      <c r="AY99">
        <v>1</v>
      </c>
      <c r="AZ99">
        <v>0</v>
      </c>
      <c r="BA99">
        <v>99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CX99">
        <f>Y99*Source!I149</f>
        <v>1.0909800000000001</v>
      </c>
      <c r="CY99">
        <f>AB99</f>
        <v>1957.1</v>
      </c>
      <c r="CZ99">
        <f>AF99</f>
        <v>162.4</v>
      </c>
      <c r="DA99">
        <f>AJ99</f>
        <v>10.11</v>
      </c>
      <c r="DB99">
        <f t="shared" si="9"/>
        <v>647.57000000000005</v>
      </c>
      <c r="DC99">
        <f t="shared" si="10"/>
        <v>114.04</v>
      </c>
    </row>
    <row r="100" spans="1:107" x14ac:dyDescent="0.2">
      <c r="A100">
        <f>ROW(Source!A149)</f>
        <v>149</v>
      </c>
      <c r="B100">
        <v>45747932</v>
      </c>
      <c r="C100">
        <v>45748513</v>
      </c>
      <c r="D100">
        <v>24931566</v>
      </c>
      <c r="E100">
        <v>1</v>
      </c>
      <c r="F100">
        <v>1</v>
      </c>
      <c r="G100">
        <v>24859158</v>
      </c>
      <c r="H100">
        <v>2</v>
      </c>
      <c r="I100" t="s">
        <v>323</v>
      </c>
      <c r="J100" t="s">
        <v>324</v>
      </c>
      <c r="K100" t="s">
        <v>325</v>
      </c>
      <c r="L100">
        <v>1367</v>
      </c>
      <c r="N100">
        <v>1011</v>
      </c>
      <c r="O100" t="s">
        <v>269</v>
      </c>
      <c r="P100" t="s">
        <v>269</v>
      </c>
      <c r="Q100">
        <v>1</v>
      </c>
      <c r="W100">
        <v>0</v>
      </c>
      <c r="X100">
        <v>1387947568</v>
      </c>
      <c r="Y100">
        <v>0.997</v>
      </c>
      <c r="AA100">
        <v>0</v>
      </c>
      <c r="AB100">
        <v>1715.14</v>
      </c>
      <c r="AC100">
        <v>530.20000000000005</v>
      </c>
      <c r="AD100">
        <v>0</v>
      </c>
      <c r="AE100">
        <v>0</v>
      </c>
      <c r="AF100">
        <v>161.49</v>
      </c>
      <c r="AG100">
        <v>17.7</v>
      </c>
      <c r="AH100">
        <v>0</v>
      </c>
      <c r="AI100">
        <v>1</v>
      </c>
      <c r="AJ100">
        <v>8.91</v>
      </c>
      <c r="AK100">
        <v>25.13</v>
      </c>
      <c r="AL100">
        <v>1</v>
      </c>
      <c r="AN100">
        <v>0</v>
      </c>
      <c r="AO100">
        <v>1</v>
      </c>
      <c r="AP100">
        <v>0</v>
      </c>
      <c r="AQ100">
        <v>0</v>
      </c>
      <c r="AR100">
        <v>0</v>
      </c>
      <c r="AS100" t="s">
        <v>3</v>
      </c>
      <c r="AT100">
        <v>0.997</v>
      </c>
      <c r="AU100" t="s">
        <v>3</v>
      </c>
      <c r="AV100">
        <v>0</v>
      </c>
      <c r="AW100">
        <v>2</v>
      </c>
      <c r="AX100">
        <v>45748571</v>
      </c>
      <c r="AY100">
        <v>1</v>
      </c>
      <c r="AZ100">
        <v>0</v>
      </c>
      <c r="BA100">
        <v>100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CX100">
        <f>Y100*Source!I149</f>
        <v>0.2727792</v>
      </c>
      <c r="CY100">
        <f>AB100</f>
        <v>1715.14</v>
      </c>
      <c r="CZ100">
        <f>AF100</f>
        <v>161.49</v>
      </c>
      <c r="DA100">
        <f>AJ100</f>
        <v>8.91</v>
      </c>
      <c r="DB100">
        <f t="shared" si="9"/>
        <v>161.01</v>
      </c>
      <c r="DC100">
        <f t="shared" si="10"/>
        <v>17.649999999999999</v>
      </c>
    </row>
    <row r="101" spans="1:107" x14ac:dyDescent="0.2">
      <c r="A101">
        <f>ROW(Source!A150)</f>
        <v>150</v>
      </c>
      <c r="B101">
        <v>45748053</v>
      </c>
      <c r="C101">
        <v>45748520</v>
      </c>
      <c r="D101">
        <v>24859163</v>
      </c>
      <c r="E101">
        <v>24859158</v>
      </c>
      <c r="F101">
        <v>1</v>
      </c>
      <c r="G101">
        <v>24859158</v>
      </c>
      <c r="H101">
        <v>1</v>
      </c>
      <c r="I101" t="s">
        <v>263</v>
      </c>
      <c r="J101" t="s">
        <v>3</v>
      </c>
      <c r="K101" t="s">
        <v>264</v>
      </c>
      <c r="L101">
        <v>1191</v>
      </c>
      <c r="N101">
        <v>1013</v>
      </c>
      <c r="O101" t="s">
        <v>265</v>
      </c>
      <c r="P101" t="s">
        <v>265</v>
      </c>
      <c r="Q101">
        <v>1</v>
      </c>
      <c r="W101">
        <v>0</v>
      </c>
      <c r="X101">
        <v>476480486</v>
      </c>
      <c r="Y101">
        <v>192.7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1</v>
      </c>
      <c r="AJ101">
        <v>1</v>
      </c>
      <c r="AK101">
        <v>1</v>
      </c>
      <c r="AL101">
        <v>1</v>
      </c>
      <c r="AN101">
        <v>0</v>
      </c>
      <c r="AO101">
        <v>1</v>
      </c>
      <c r="AP101">
        <v>0</v>
      </c>
      <c r="AQ101">
        <v>0</v>
      </c>
      <c r="AR101">
        <v>0</v>
      </c>
      <c r="AS101" t="s">
        <v>3</v>
      </c>
      <c r="AT101">
        <v>192.7</v>
      </c>
      <c r="AU101" t="s">
        <v>3</v>
      </c>
      <c r="AV101">
        <v>1</v>
      </c>
      <c r="AW101">
        <v>2</v>
      </c>
      <c r="AX101">
        <v>45748522</v>
      </c>
      <c r="AY101">
        <v>1</v>
      </c>
      <c r="AZ101">
        <v>0</v>
      </c>
      <c r="BA101">
        <v>101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CX101">
        <f>Y101*Source!I150</f>
        <v>2.7748799999999996</v>
      </c>
      <c r="CY101">
        <f>AD101</f>
        <v>0</v>
      </c>
      <c r="CZ101">
        <f>AH101</f>
        <v>0</v>
      </c>
      <c r="DA101">
        <f>AL101</f>
        <v>1</v>
      </c>
      <c r="DB101">
        <f t="shared" si="9"/>
        <v>0</v>
      </c>
      <c r="DC101">
        <f t="shared" si="10"/>
        <v>0</v>
      </c>
    </row>
    <row r="102" spans="1:107" x14ac:dyDescent="0.2">
      <c r="A102">
        <f>ROW(Source!A151)</f>
        <v>151</v>
      </c>
      <c r="B102">
        <v>45747932</v>
      </c>
      <c r="C102">
        <v>45748520</v>
      </c>
      <c r="D102">
        <v>24859163</v>
      </c>
      <c r="E102">
        <v>24859158</v>
      </c>
      <c r="F102">
        <v>1</v>
      </c>
      <c r="G102">
        <v>24859158</v>
      </c>
      <c r="H102">
        <v>1</v>
      </c>
      <c r="I102" t="s">
        <v>263</v>
      </c>
      <c r="J102" t="s">
        <v>3</v>
      </c>
      <c r="K102" t="s">
        <v>264</v>
      </c>
      <c r="L102">
        <v>1191</v>
      </c>
      <c r="N102">
        <v>1013</v>
      </c>
      <c r="O102" t="s">
        <v>265</v>
      </c>
      <c r="P102" t="s">
        <v>265</v>
      </c>
      <c r="Q102">
        <v>1</v>
      </c>
      <c r="W102">
        <v>0</v>
      </c>
      <c r="X102">
        <v>476480486</v>
      </c>
      <c r="Y102">
        <v>192.7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1</v>
      </c>
      <c r="AJ102">
        <v>1</v>
      </c>
      <c r="AK102">
        <v>1</v>
      </c>
      <c r="AL102">
        <v>1</v>
      </c>
      <c r="AN102">
        <v>0</v>
      </c>
      <c r="AO102">
        <v>1</v>
      </c>
      <c r="AP102">
        <v>0</v>
      </c>
      <c r="AQ102">
        <v>0</v>
      </c>
      <c r="AR102">
        <v>0</v>
      </c>
      <c r="AS102" t="s">
        <v>3</v>
      </c>
      <c r="AT102">
        <v>192.7</v>
      </c>
      <c r="AU102" t="s">
        <v>3</v>
      </c>
      <c r="AV102">
        <v>1</v>
      </c>
      <c r="AW102">
        <v>2</v>
      </c>
      <c r="AX102">
        <v>45748522</v>
      </c>
      <c r="AY102">
        <v>1</v>
      </c>
      <c r="AZ102">
        <v>0</v>
      </c>
      <c r="BA102">
        <v>102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CX102">
        <f>Y102*Source!I151</f>
        <v>2.7748799999999996</v>
      </c>
      <c r="CY102">
        <f>AD102</f>
        <v>0</v>
      </c>
      <c r="CZ102">
        <f>AH102</f>
        <v>0</v>
      </c>
      <c r="DA102">
        <f>AL102</f>
        <v>1</v>
      </c>
      <c r="DB102">
        <f t="shared" si="9"/>
        <v>0</v>
      </c>
      <c r="DC102">
        <f t="shared" si="10"/>
        <v>0</v>
      </c>
    </row>
    <row r="103" spans="1:107" x14ac:dyDescent="0.2">
      <c r="A103">
        <f>ROW(Source!A152)</f>
        <v>152</v>
      </c>
      <c r="B103">
        <v>45748053</v>
      </c>
      <c r="C103">
        <v>45748523</v>
      </c>
      <c r="D103">
        <v>24859163</v>
      </c>
      <c r="E103">
        <v>24859158</v>
      </c>
      <c r="F103">
        <v>1</v>
      </c>
      <c r="G103">
        <v>24859158</v>
      </c>
      <c r="H103">
        <v>1</v>
      </c>
      <c r="I103" t="s">
        <v>263</v>
      </c>
      <c r="J103" t="s">
        <v>3</v>
      </c>
      <c r="K103" t="s">
        <v>264</v>
      </c>
      <c r="L103">
        <v>1191</v>
      </c>
      <c r="N103">
        <v>1013</v>
      </c>
      <c r="O103" t="s">
        <v>265</v>
      </c>
      <c r="P103" t="s">
        <v>265</v>
      </c>
      <c r="Q103">
        <v>1</v>
      </c>
      <c r="W103">
        <v>0</v>
      </c>
      <c r="X103">
        <v>476480486</v>
      </c>
      <c r="Y103">
        <v>1.38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1</v>
      </c>
      <c r="AJ103">
        <v>1</v>
      </c>
      <c r="AK103">
        <v>1</v>
      </c>
      <c r="AL103">
        <v>1</v>
      </c>
      <c r="AN103">
        <v>0</v>
      </c>
      <c r="AO103">
        <v>1</v>
      </c>
      <c r="AP103">
        <v>0</v>
      </c>
      <c r="AQ103">
        <v>0</v>
      </c>
      <c r="AR103">
        <v>0</v>
      </c>
      <c r="AS103" t="s">
        <v>3</v>
      </c>
      <c r="AT103">
        <v>1.38</v>
      </c>
      <c r="AU103" t="s">
        <v>3</v>
      </c>
      <c r="AV103">
        <v>1</v>
      </c>
      <c r="AW103">
        <v>2</v>
      </c>
      <c r="AX103">
        <v>45748527</v>
      </c>
      <c r="AY103">
        <v>1</v>
      </c>
      <c r="AZ103">
        <v>0</v>
      </c>
      <c r="BA103">
        <v>103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CX103">
        <f>Y103*Source!I152</f>
        <v>1.7884799999999999E-2</v>
      </c>
      <c r="CY103">
        <f>AD103</f>
        <v>0</v>
      </c>
      <c r="CZ103">
        <f>AH103</f>
        <v>0</v>
      </c>
      <c r="DA103">
        <f>AL103</f>
        <v>1</v>
      </c>
      <c r="DB103">
        <f t="shared" si="9"/>
        <v>0</v>
      </c>
      <c r="DC103">
        <f t="shared" si="10"/>
        <v>0</v>
      </c>
    </row>
    <row r="104" spans="1:107" x14ac:dyDescent="0.2">
      <c r="A104">
        <f>ROW(Source!A152)</f>
        <v>152</v>
      </c>
      <c r="B104">
        <v>45748053</v>
      </c>
      <c r="C104">
        <v>45748523</v>
      </c>
      <c r="D104">
        <v>24931541</v>
      </c>
      <c r="E104">
        <v>1</v>
      </c>
      <c r="F104">
        <v>1</v>
      </c>
      <c r="G104">
        <v>24859158</v>
      </c>
      <c r="H104">
        <v>2</v>
      </c>
      <c r="I104" t="s">
        <v>320</v>
      </c>
      <c r="J104" t="s">
        <v>321</v>
      </c>
      <c r="K104" t="s">
        <v>322</v>
      </c>
      <c r="L104">
        <v>1367</v>
      </c>
      <c r="N104">
        <v>1011</v>
      </c>
      <c r="O104" t="s">
        <v>269</v>
      </c>
      <c r="P104" t="s">
        <v>269</v>
      </c>
      <c r="Q104">
        <v>1</v>
      </c>
      <c r="W104">
        <v>0</v>
      </c>
      <c r="X104">
        <v>781556702</v>
      </c>
      <c r="Y104">
        <v>3.9874999999999998</v>
      </c>
      <c r="AA104">
        <v>0</v>
      </c>
      <c r="AB104">
        <v>162.4</v>
      </c>
      <c r="AC104">
        <v>28.6</v>
      </c>
      <c r="AD104">
        <v>0</v>
      </c>
      <c r="AE104">
        <v>0</v>
      </c>
      <c r="AF104">
        <v>162.4</v>
      </c>
      <c r="AG104">
        <v>28.6</v>
      </c>
      <c r="AH104">
        <v>0</v>
      </c>
      <c r="AI104">
        <v>1</v>
      </c>
      <c r="AJ104">
        <v>1</v>
      </c>
      <c r="AK104">
        <v>1</v>
      </c>
      <c r="AL104">
        <v>1</v>
      </c>
      <c r="AN104">
        <v>0</v>
      </c>
      <c r="AO104">
        <v>1</v>
      </c>
      <c r="AP104">
        <v>0</v>
      </c>
      <c r="AQ104">
        <v>0</v>
      </c>
      <c r="AR104">
        <v>0</v>
      </c>
      <c r="AS104" t="s">
        <v>3</v>
      </c>
      <c r="AT104">
        <v>3.9874999999999998</v>
      </c>
      <c r="AU104" t="s">
        <v>3</v>
      </c>
      <c r="AV104">
        <v>0</v>
      </c>
      <c r="AW104">
        <v>2</v>
      </c>
      <c r="AX104">
        <v>45748528</v>
      </c>
      <c r="AY104">
        <v>1</v>
      </c>
      <c r="AZ104">
        <v>0</v>
      </c>
      <c r="BA104">
        <v>104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CX104">
        <f>Y104*Source!I152</f>
        <v>5.1677999999999995E-2</v>
      </c>
      <c r="CY104">
        <f>AB104</f>
        <v>162.4</v>
      </c>
      <c r="CZ104">
        <f>AF104</f>
        <v>162.4</v>
      </c>
      <c r="DA104">
        <f>AJ104</f>
        <v>1</v>
      </c>
      <c r="DB104">
        <f t="shared" si="9"/>
        <v>647.57000000000005</v>
      </c>
      <c r="DC104">
        <f t="shared" si="10"/>
        <v>114.04</v>
      </c>
    </row>
    <row r="105" spans="1:107" x14ac:dyDescent="0.2">
      <c r="A105">
        <f>ROW(Source!A152)</f>
        <v>152</v>
      </c>
      <c r="B105">
        <v>45748053</v>
      </c>
      <c r="C105">
        <v>45748523</v>
      </c>
      <c r="D105">
        <v>24931566</v>
      </c>
      <c r="E105">
        <v>1</v>
      </c>
      <c r="F105">
        <v>1</v>
      </c>
      <c r="G105">
        <v>24859158</v>
      </c>
      <c r="H105">
        <v>2</v>
      </c>
      <c r="I105" t="s">
        <v>323</v>
      </c>
      <c r="J105" t="s">
        <v>326</v>
      </c>
      <c r="K105" t="s">
        <v>325</v>
      </c>
      <c r="L105">
        <v>1367</v>
      </c>
      <c r="N105">
        <v>1011</v>
      </c>
      <c r="O105" t="s">
        <v>269</v>
      </c>
      <c r="P105" t="s">
        <v>269</v>
      </c>
      <c r="Q105">
        <v>1</v>
      </c>
      <c r="W105">
        <v>0</v>
      </c>
      <c r="X105">
        <v>695902881</v>
      </c>
      <c r="Y105">
        <v>0.997</v>
      </c>
      <c r="AA105">
        <v>0</v>
      </c>
      <c r="AB105">
        <v>110.31</v>
      </c>
      <c r="AC105">
        <v>26.52</v>
      </c>
      <c r="AD105">
        <v>0</v>
      </c>
      <c r="AE105">
        <v>0</v>
      </c>
      <c r="AF105">
        <v>110.31</v>
      </c>
      <c r="AG105">
        <v>26.52</v>
      </c>
      <c r="AH105">
        <v>0</v>
      </c>
      <c r="AI105">
        <v>1</v>
      </c>
      <c r="AJ105">
        <v>1</v>
      </c>
      <c r="AK105">
        <v>1</v>
      </c>
      <c r="AL105">
        <v>1</v>
      </c>
      <c r="AN105">
        <v>0</v>
      </c>
      <c r="AO105">
        <v>1</v>
      </c>
      <c r="AP105">
        <v>0</v>
      </c>
      <c r="AQ105">
        <v>0</v>
      </c>
      <c r="AR105">
        <v>0</v>
      </c>
      <c r="AS105" t="s">
        <v>3</v>
      </c>
      <c r="AT105">
        <v>0.997</v>
      </c>
      <c r="AU105" t="s">
        <v>3</v>
      </c>
      <c r="AV105">
        <v>0</v>
      </c>
      <c r="AW105">
        <v>2</v>
      </c>
      <c r="AX105">
        <v>45748529</v>
      </c>
      <c r="AY105">
        <v>1</v>
      </c>
      <c r="AZ105">
        <v>0</v>
      </c>
      <c r="BA105">
        <v>105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CX105">
        <f>Y105*Source!I152</f>
        <v>1.2921119999999999E-2</v>
      </c>
      <c r="CY105">
        <f>AB105</f>
        <v>110.31</v>
      </c>
      <c r="CZ105">
        <f>AF105</f>
        <v>110.31</v>
      </c>
      <c r="DA105">
        <f>AJ105</f>
        <v>1</v>
      </c>
      <c r="DB105">
        <f t="shared" si="9"/>
        <v>109.98</v>
      </c>
      <c r="DC105">
        <f t="shared" si="10"/>
        <v>26.44</v>
      </c>
    </row>
    <row r="106" spans="1:107" x14ac:dyDescent="0.2">
      <c r="A106">
        <f>ROW(Source!A153)</f>
        <v>153</v>
      </c>
      <c r="B106">
        <v>45747932</v>
      </c>
      <c r="C106">
        <v>45748523</v>
      </c>
      <c r="D106">
        <v>24859163</v>
      </c>
      <c r="E106">
        <v>24859158</v>
      </c>
      <c r="F106">
        <v>1</v>
      </c>
      <c r="G106">
        <v>24859158</v>
      </c>
      <c r="H106">
        <v>1</v>
      </c>
      <c r="I106" t="s">
        <v>263</v>
      </c>
      <c r="J106" t="s">
        <v>3</v>
      </c>
      <c r="K106" t="s">
        <v>264</v>
      </c>
      <c r="L106">
        <v>1191</v>
      </c>
      <c r="N106">
        <v>1013</v>
      </c>
      <c r="O106" t="s">
        <v>265</v>
      </c>
      <c r="P106" t="s">
        <v>265</v>
      </c>
      <c r="Q106">
        <v>1</v>
      </c>
      <c r="W106">
        <v>0</v>
      </c>
      <c r="X106">
        <v>476480486</v>
      </c>
      <c r="Y106">
        <v>1.38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1</v>
      </c>
      <c r="AJ106">
        <v>1</v>
      </c>
      <c r="AK106">
        <v>1</v>
      </c>
      <c r="AL106">
        <v>1</v>
      </c>
      <c r="AN106">
        <v>0</v>
      </c>
      <c r="AO106">
        <v>1</v>
      </c>
      <c r="AP106">
        <v>0</v>
      </c>
      <c r="AQ106">
        <v>0</v>
      </c>
      <c r="AR106">
        <v>0</v>
      </c>
      <c r="AS106" t="s">
        <v>3</v>
      </c>
      <c r="AT106">
        <v>1.38</v>
      </c>
      <c r="AU106" t="s">
        <v>3</v>
      </c>
      <c r="AV106">
        <v>1</v>
      </c>
      <c r="AW106">
        <v>2</v>
      </c>
      <c r="AX106">
        <v>45748527</v>
      </c>
      <c r="AY106">
        <v>1</v>
      </c>
      <c r="AZ106">
        <v>0</v>
      </c>
      <c r="BA106">
        <v>106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CX106">
        <f>Y106*Source!I153</f>
        <v>1.7884799999999999E-2</v>
      </c>
      <c r="CY106">
        <f>AD106</f>
        <v>0</v>
      </c>
      <c r="CZ106">
        <f>AH106</f>
        <v>0</v>
      </c>
      <c r="DA106">
        <f>AL106</f>
        <v>1</v>
      </c>
      <c r="DB106">
        <f t="shared" si="9"/>
        <v>0</v>
      </c>
      <c r="DC106">
        <f t="shared" si="10"/>
        <v>0</v>
      </c>
    </row>
    <row r="107" spans="1:107" x14ac:dyDescent="0.2">
      <c r="A107">
        <f>ROW(Source!A153)</f>
        <v>153</v>
      </c>
      <c r="B107">
        <v>45747932</v>
      </c>
      <c r="C107">
        <v>45748523</v>
      </c>
      <c r="D107">
        <v>24931541</v>
      </c>
      <c r="E107">
        <v>1</v>
      </c>
      <c r="F107">
        <v>1</v>
      </c>
      <c r="G107">
        <v>24859158</v>
      </c>
      <c r="H107">
        <v>2</v>
      </c>
      <c r="I107" t="s">
        <v>320</v>
      </c>
      <c r="J107" t="s">
        <v>321</v>
      </c>
      <c r="K107" t="s">
        <v>322</v>
      </c>
      <c r="L107">
        <v>1367</v>
      </c>
      <c r="N107">
        <v>1011</v>
      </c>
      <c r="O107" t="s">
        <v>269</v>
      </c>
      <c r="P107" t="s">
        <v>269</v>
      </c>
      <c r="Q107">
        <v>1</v>
      </c>
      <c r="W107">
        <v>0</v>
      </c>
      <c r="X107">
        <v>781556702</v>
      </c>
      <c r="Y107">
        <v>3.9874999999999998</v>
      </c>
      <c r="AA107">
        <v>0</v>
      </c>
      <c r="AB107">
        <v>1957.1</v>
      </c>
      <c r="AC107">
        <v>856.71</v>
      </c>
      <c r="AD107">
        <v>0</v>
      </c>
      <c r="AE107">
        <v>0</v>
      </c>
      <c r="AF107">
        <v>162.4</v>
      </c>
      <c r="AG107">
        <v>28.6</v>
      </c>
      <c r="AH107">
        <v>0</v>
      </c>
      <c r="AI107">
        <v>1</v>
      </c>
      <c r="AJ107">
        <v>10.11</v>
      </c>
      <c r="AK107">
        <v>25.13</v>
      </c>
      <c r="AL107">
        <v>1</v>
      </c>
      <c r="AN107">
        <v>0</v>
      </c>
      <c r="AO107">
        <v>1</v>
      </c>
      <c r="AP107">
        <v>0</v>
      </c>
      <c r="AQ107">
        <v>0</v>
      </c>
      <c r="AR107">
        <v>0</v>
      </c>
      <c r="AS107" t="s">
        <v>3</v>
      </c>
      <c r="AT107">
        <v>3.9874999999999998</v>
      </c>
      <c r="AU107" t="s">
        <v>3</v>
      </c>
      <c r="AV107">
        <v>0</v>
      </c>
      <c r="AW107">
        <v>2</v>
      </c>
      <c r="AX107">
        <v>45748528</v>
      </c>
      <c r="AY107">
        <v>1</v>
      </c>
      <c r="AZ107">
        <v>0</v>
      </c>
      <c r="BA107">
        <v>107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CX107">
        <f>Y107*Source!I153</f>
        <v>5.1677999999999995E-2</v>
      </c>
      <c r="CY107">
        <f>AB107</f>
        <v>1957.1</v>
      </c>
      <c r="CZ107">
        <f>AF107</f>
        <v>162.4</v>
      </c>
      <c r="DA107">
        <f>AJ107</f>
        <v>10.11</v>
      </c>
      <c r="DB107">
        <f t="shared" si="9"/>
        <v>647.57000000000005</v>
      </c>
      <c r="DC107">
        <f t="shared" si="10"/>
        <v>114.04</v>
      </c>
    </row>
    <row r="108" spans="1:107" x14ac:dyDescent="0.2">
      <c r="A108">
        <f>ROW(Source!A153)</f>
        <v>153</v>
      </c>
      <c r="B108">
        <v>45747932</v>
      </c>
      <c r="C108">
        <v>45748523</v>
      </c>
      <c r="D108">
        <v>24931566</v>
      </c>
      <c r="E108">
        <v>1</v>
      </c>
      <c r="F108">
        <v>1</v>
      </c>
      <c r="G108">
        <v>24859158</v>
      </c>
      <c r="H108">
        <v>2</v>
      </c>
      <c r="I108" t="s">
        <v>323</v>
      </c>
      <c r="J108" t="s">
        <v>326</v>
      </c>
      <c r="K108" t="s">
        <v>325</v>
      </c>
      <c r="L108">
        <v>1367</v>
      </c>
      <c r="N108">
        <v>1011</v>
      </c>
      <c r="O108" t="s">
        <v>269</v>
      </c>
      <c r="P108" t="s">
        <v>269</v>
      </c>
      <c r="Q108">
        <v>1</v>
      </c>
      <c r="W108">
        <v>0</v>
      </c>
      <c r="X108">
        <v>695902881</v>
      </c>
      <c r="Y108">
        <v>0.997</v>
      </c>
      <c r="AA108">
        <v>0</v>
      </c>
      <c r="AB108">
        <v>1715.14</v>
      </c>
      <c r="AC108">
        <v>530.20000000000005</v>
      </c>
      <c r="AD108">
        <v>0</v>
      </c>
      <c r="AE108">
        <v>0</v>
      </c>
      <c r="AF108">
        <v>161.49</v>
      </c>
      <c r="AG108">
        <v>17.7</v>
      </c>
      <c r="AH108">
        <v>0</v>
      </c>
      <c r="AI108">
        <v>1</v>
      </c>
      <c r="AJ108">
        <v>8.91</v>
      </c>
      <c r="AK108">
        <v>25.13</v>
      </c>
      <c r="AL108">
        <v>1</v>
      </c>
      <c r="AN108">
        <v>0</v>
      </c>
      <c r="AO108">
        <v>1</v>
      </c>
      <c r="AP108">
        <v>0</v>
      </c>
      <c r="AQ108">
        <v>0</v>
      </c>
      <c r="AR108">
        <v>0</v>
      </c>
      <c r="AS108" t="s">
        <v>3</v>
      </c>
      <c r="AT108">
        <v>0.997</v>
      </c>
      <c r="AU108" t="s">
        <v>3</v>
      </c>
      <c r="AV108">
        <v>0</v>
      </c>
      <c r="AW108">
        <v>2</v>
      </c>
      <c r="AX108">
        <v>45748529</v>
      </c>
      <c r="AY108">
        <v>1</v>
      </c>
      <c r="AZ108">
        <v>0</v>
      </c>
      <c r="BA108">
        <v>108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CX108">
        <f>Y108*Source!I153</f>
        <v>1.2921119999999999E-2</v>
      </c>
      <c r="CY108">
        <f>AB108</f>
        <v>1715.14</v>
      </c>
      <c r="CZ108">
        <f>AF108</f>
        <v>161.49</v>
      </c>
      <c r="DA108">
        <f>AJ108</f>
        <v>8.91</v>
      </c>
      <c r="DB108">
        <f t="shared" si="9"/>
        <v>161.01</v>
      </c>
      <c r="DC108">
        <f t="shared" si="10"/>
        <v>17.649999999999999</v>
      </c>
    </row>
    <row r="109" spans="1:107" x14ac:dyDescent="0.2">
      <c r="A109">
        <f>ROW(Source!A154)</f>
        <v>154</v>
      </c>
      <c r="B109">
        <v>45748053</v>
      </c>
      <c r="C109">
        <v>45748530</v>
      </c>
      <c r="D109">
        <v>24859163</v>
      </c>
      <c r="E109">
        <v>24859158</v>
      </c>
      <c r="F109">
        <v>1</v>
      </c>
      <c r="G109">
        <v>24859158</v>
      </c>
      <c r="H109">
        <v>1</v>
      </c>
      <c r="I109" t="s">
        <v>263</v>
      </c>
      <c r="J109" t="s">
        <v>3</v>
      </c>
      <c r="K109" t="s">
        <v>264</v>
      </c>
      <c r="L109">
        <v>1191</v>
      </c>
      <c r="N109">
        <v>1013</v>
      </c>
      <c r="O109" t="s">
        <v>265</v>
      </c>
      <c r="P109" t="s">
        <v>265</v>
      </c>
      <c r="Q109">
        <v>1</v>
      </c>
      <c r="W109">
        <v>0</v>
      </c>
      <c r="X109">
        <v>476480486</v>
      </c>
      <c r="Y109">
        <v>83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1</v>
      </c>
      <c r="AJ109">
        <v>1</v>
      </c>
      <c r="AK109">
        <v>1</v>
      </c>
      <c r="AL109">
        <v>1</v>
      </c>
      <c r="AN109">
        <v>0</v>
      </c>
      <c r="AO109">
        <v>1</v>
      </c>
      <c r="AP109">
        <v>0</v>
      </c>
      <c r="AQ109">
        <v>0</v>
      </c>
      <c r="AR109">
        <v>0</v>
      </c>
      <c r="AS109" t="s">
        <v>3</v>
      </c>
      <c r="AT109">
        <v>83</v>
      </c>
      <c r="AU109" t="s">
        <v>3</v>
      </c>
      <c r="AV109">
        <v>1</v>
      </c>
      <c r="AW109">
        <v>2</v>
      </c>
      <c r="AX109">
        <v>45748532</v>
      </c>
      <c r="AY109">
        <v>1</v>
      </c>
      <c r="AZ109">
        <v>0</v>
      </c>
      <c r="BA109">
        <v>109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CX109">
        <f>Y109*Source!I154</f>
        <v>0.11952</v>
      </c>
      <c r="CY109">
        <f>AD109</f>
        <v>0</v>
      </c>
      <c r="CZ109">
        <f>AH109</f>
        <v>0</v>
      </c>
      <c r="DA109">
        <f>AL109</f>
        <v>1</v>
      </c>
      <c r="DB109">
        <f t="shared" si="9"/>
        <v>0</v>
      </c>
      <c r="DC109">
        <f t="shared" si="10"/>
        <v>0</v>
      </c>
    </row>
    <row r="110" spans="1:107" x14ac:dyDescent="0.2">
      <c r="A110">
        <f>ROW(Source!A155)</f>
        <v>155</v>
      </c>
      <c r="B110">
        <v>45747932</v>
      </c>
      <c r="C110">
        <v>45748530</v>
      </c>
      <c r="D110">
        <v>24859163</v>
      </c>
      <c r="E110">
        <v>24859158</v>
      </c>
      <c r="F110">
        <v>1</v>
      </c>
      <c r="G110">
        <v>24859158</v>
      </c>
      <c r="H110">
        <v>1</v>
      </c>
      <c r="I110" t="s">
        <v>263</v>
      </c>
      <c r="J110" t="s">
        <v>3</v>
      </c>
      <c r="K110" t="s">
        <v>264</v>
      </c>
      <c r="L110">
        <v>1191</v>
      </c>
      <c r="N110">
        <v>1013</v>
      </c>
      <c r="O110" t="s">
        <v>265</v>
      </c>
      <c r="P110" t="s">
        <v>265</v>
      </c>
      <c r="Q110">
        <v>1</v>
      </c>
      <c r="W110">
        <v>0</v>
      </c>
      <c r="X110">
        <v>476480486</v>
      </c>
      <c r="Y110">
        <v>83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1</v>
      </c>
      <c r="AJ110">
        <v>1</v>
      </c>
      <c r="AK110">
        <v>1</v>
      </c>
      <c r="AL110">
        <v>1</v>
      </c>
      <c r="AN110">
        <v>0</v>
      </c>
      <c r="AO110">
        <v>1</v>
      </c>
      <c r="AP110">
        <v>0</v>
      </c>
      <c r="AQ110">
        <v>0</v>
      </c>
      <c r="AR110">
        <v>0</v>
      </c>
      <c r="AS110" t="s">
        <v>3</v>
      </c>
      <c r="AT110">
        <v>83</v>
      </c>
      <c r="AU110" t="s">
        <v>3</v>
      </c>
      <c r="AV110">
        <v>1</v>
      </c>
      <c r="AW110">
        <v>2</v>
      </c>
      <c r="AX110">
        <v>45748532</v>
      </c>
      <c r="AY110">
        <v>1</v>
      </c>
      <c r="AZ110">
        <v>0</v>
      </c>
      <c r="BA110">
        <v>110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CX110">
        <f>Y110*Source!I155</f>
        <v>0.11952</v>
      </c>
      <c r="CY110">
        <f>AD110</f>
        <v>0</v>
      </c>
      <c r="CZ110">
        <f>AH110</f>
        <v>0</v>
      </c>
      <c r="DA110">
        <f>AL110</f>
        <v>1</v>
      </c>
      <c r="DB110">
        <f t="shared" si="9"/>
        <v>0</v>
      </c>
      <c r="DC110">
        <f t="shared" si="10"/>
        <v>0</v>
      </c>
    </row>
    <row r="111" spans="1:107" x14ac:dyDescent="0.2">
      <c r="A111">
        <f>ROW(Source!A156)</f>
        <v>156</v>
      </c>
      <c r="B111">
        <v>45748053</v>
      </c>
      <c r="C111">
        <v>45748533</v>
      </c>
      <c r="D111">
        <v>26556672</v>
      </c>
      <c r="E111">
        <v>1</v>
      </c>
      <c r="F111">
        <v>1</v>
      </c>
      <c r="G111">
        <v>24859158</v>
      </c>
      <c r="H111">
        <v>2</v>
      </c>
      <c r="I111" t="s">
        <v>327</v>
      </c>
      <c r="J111" t="s">
        <v>328</v>
      </c>
      <c r="K111" t="s">
        <v>329</v>
      </c>
      <c r="L111">
        <v>1367</v>
      </c>
      <c r="N111">
        <v>1011</v>
      </c>
      <c r="O111" t="s">
        <v>269</v>
      </c>
      <c r="P111" t="s">
        <v>269</v>
      </c>
      <c r="Q111">
        <v>1</v>
      </c>
      <c r="W111">
        <v>0</v>
      </c>
      <c r="X111">
        <v>-1897129346</v>
      </c>
      <c r="Y111">
        <v>1</v>
      </c>
      <c r="AA111">
        <v>0</v>
      </c>
      <c r="AB111">
        <v>162.03</v>
      </c>
      <c r="AC111">
        <v>16.920000000000002</v>
      </c>
      <c r="AD111">
        <v>0</v>
      </c>
      <c r="AE111">
        <v>0</v>
      </c>
      <c r="AF111">
        <v>162.03</v>
      </c>
      <c r="AG111">
        <v>16.920000000000002</v>
      </c>
      <c r="AH111">
        <v>0</v>
      </c>
      <c r="AI111">
        <v>1</v>
      </c>
      <c r="AJ111">
        <v>1</v>
      </c>
      <c r="AK111">
        <v>1</v>
      </c>
      <c r="AL111">
        <v>1</v>
      </c>
      <c r="AN111">
        <v>0</v>
      </c>
      <c r="AO111">
        <v>1</v>
      </c>
      <c r="AP111">
        <v>0</v>
      </c>
      <c r="AQ111">
        <v>0</v>
      </c>
      <c r="AR111">
        <v>0</v>
      </c>
      <c r="AS111" t="s">
        <v>3</v>
      </c>
      <c r="AT111">
        <v>1</v>
      </c>
      <c r="AU111" t="s">
        <v>3</v>
      </c>
      <c r="AV111">
        <v>0</v>
      </c>
      <c r="AW111">
        <v>2</v>
      </c>
      <c r="AX111">
        <v>45748572</v>
      </c>
      <c r="AY111">
        <v>1</v>
      </c>
      <c r="AZ111">
        <v>0</v>
      </c>
      <c r="BA111">
        <v>111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CX111">
        <f>Y111*Source!I156</f>
        <v>40.32</v>
      </c>
      <c r="CY111">
        <f>AB111</f>
        <v>162.03</v>
      </c>
      <c r="CZ111">
        <f>AF111</f>
        <v>162.03</v>
      </c>
      <c r="DA111">
        <f>AJ111</f>
        <v>1</v>
      </c>
      <c r="DB111">
        <f t="shared" si="9"/>
        <v>162.03</v>
      </c>
      <c r="DC111">
        <f t="shared" si="10"/>
        <v>16.920000000000002</v>
      </c>
    </row>
    <row r="112" spans="1:107" x14ac:dyDescent="0.2">
      <c r="A112">
        <f>ROW(Source!A157)</f>
        <v>157</v>
      </c>
      <c r="B112">
        <v>45747932</v>
      </c>
      <c r="C112">
        <v>45748533</v>
      </c>
      <c r="D112">
        <v>26556672</v>
      </c>
      <c r="E112">
        <v>1</v>
      </c>
      <c r="F112">
        <v>1</v>
      </c>
      <c r="G112">
        <v>24859158</v>
      </c>
      <c r="H112">
        <v>2</v>
      </c>
      <c r="I112" t="s">
        <v>327</v>
      </c>
      <c r="J112" t="s">
        <v>328</v>
      </c>
      <c r="K112" t="s">
        <v>329</v>
      </c>
      <c r="L112">
        <v>1367</v>
      </c>
      <c r="N112">
        <v>1011</v>
      </c>
      <c r="O112" t="s">
        <v>269</v>
      </c>
      <c r="P112" t="s">
        <v>269</v>
      </c>
      <c r="Q112">
        <v>1</v>
      </c>
      <c r="W112">
        <v>0</v>
      </c>
      <c r="X112">
        <v>-1897129346</v>
      </c>
      <c r="Y112">
        <v>1</v>
      </c>
      <c r="AA112">
        <v>0</v>
      </c>
      <c r="AB112">
        <v>1411.28</v>
      </c>
      <c r="AC112">
        <v>425.2</v>
      </c>
      <c r="AD112">
        <v>0</v>
      </c>
      <c r="AE112">
        <v>0</v>
      </c>
      <c r="AF112">
        <v>162.03</v>
      </c>
      <c r="AG112">
        <v>16.920000000000002</v>
      </c>
      <c r="AH112">
        <v>0</v>
      </c>
      <c r="AI112">
        <v>1</v>
      </c>
      <c r="AJ112">
        <v>8.7100000000000009</v>
      </c>
      <c r="AK112">
        <v>25.13</v>
      </c>
      <c r="AL112">
        <v>1</v>
      </c>
      <c r="AN112">
        <v>0</v>
      </c>
      <c r="AO112">
        <v>1</v>
      </c>
      <c r="AP112">
        <v>0</v>
      </c>
      <c r="AQ112">
        <v>0</v>
      </c>
      <c r="AR112">
        <v>0</v>
      </c>
      <c r="AS112" t="s">
        <v>3</v>
      </c>
      <c r="AT112">
        <v>1</v>
      </c>
      <c r="AU112" t="s">
        <v>3</v>
      </c>
      <c r="AV112">
        <v>0</v>
      </c>
      <c r="AW112">
        <v>2</v>
      </c>
      <c r="AX112">
        <v>45748572</v>
      </c>
      <c r="AY112">
        <v>1</v>
      </c>
      <c r="AZ112">
        <v>0</v>
      </c>
      <c r="BA112">
        <v>112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CX112">
        <f>Y112*Source!I157</f>
        <v>40.32</v>
      </c>
      <c r="CY112">
        <f>AB112</f>
        <v>1411.28</v>
      </c>
      <c r="CZ112">
        <f>AF112</f>
        <v>162.03</v>
      </c>
      <c r="DA112">
        <f>AJ112</f>
        <v>8.7100000000000009</v>
      </c>
      <c r="DB112">
        <f t="shared" si="9"/>
        <v>162.03</v>
      </c>
      <c r="DC112">
        <f t="shared" si="10"/>
        <v>16.920000000000002</v>
      </c>
    </row>
    <row r="113" spans="1:107" x14ac:dyDescent="0.2">
      <c r="A113">
        <f>ROW(Source!A158)</f>
        <v>158</v>
      </c>
      <c r="B113">
        <v>45748053</v>
      </c>
      <c r="C113">
        <v>45748536</v>
      </c>
      <c r="D113">
        <v>24859885</v>
      </c>
      <c r="E113">
        <v>24859158</v>
      </c>
      <c r="F113">
        <v>1</v>
      </c>
      <c r="G113">
        <v>24859158</v>
      </c>
      <c r="H113">
        <v>2</v>
      </c>
      <c r="I113" t="s">
        <v>276</v>
      </c>
      <c r="J113" t="s">
        <v>3</v>
      </c>
      <c r="K113" t="s">
        <v>277</v>
      </c>
      <c r="L113">
        <v>1344</v>
      </c>
      <c r="N113">
        <v>1008</v>
      </c>
      <c r="O113" t="s">
        <v>278</v>
      </c>
      <c r="P113" t="s">
        <v>278</v>
      </c>
      <c r="Q113">
        <v>1</v>
      </c>
      <c r="W113">
        <v>0</v>
      </c>
      <c r="X113">
        <v>-1180195794</v>
      </c>
      <c r="Y113">
        <v>12.61</v>
      </c>
      <c r="AA113">
        <v>0</v>
      </c>
      <c r="AB113">
        <v>1</v>
      </c>
      <c r="AC113">
        <v>0</v>
      </c>
      <c r="AD113">
        <v>0</v>
      </c>
      <c r="AE113">
        <v>0</v>
      </c>
      <c r="AF113">
        <v>1</v>
      </c>
      <c r="AG113">
        <v>0</v>
      </c>
      <c r="AH113">
        <v>0</v>
      </c>
      <c r="AI113">
        <v>1</v>
      </c>
      <c r="AJ113">
        <v>1</v>
      </c>
      <c r="AK113">
        <v>1</v>
      </c>
      <c r="AL113">
        <v>1</v>
      </c>
      <c r="AN113">
        <v>0</v>
      </c>
      <c r="AO113">
        <v>1</v>
      </c>
      <c r="AP113">
        <v>1</v>
      </c>
      <c r="AQ113">
        <v>0</v>
      </c>
      <c r="AR113">
        <v>0</v>
      </c>
      <c r="AS113" t="s">
        <v>3</v>
      </c>
      <c r="AT113">
        <v>12.61</v>
      </c>
      <c r="AU113" t="s">
        <v>3</v>
      </c>
      <c r="AV113">
        <v>0</v>
      </c>
      <c r="AW113">
        <v>2</v>
      </c>
      <c r="AX113">
        <v>45748538</v>
      </c>
      <c r="AY113">
        <v>1</v>
      </c>
      <c r="AZ113">
        <v>0</v>
      </c>
      <c r="BA113">
        <v>113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CX113">
        <f>Y113*Source!I158</f>
        <v>508.43520000000001</v>
      </c>
      <c r="CY113">
        <f>AB113</f>
        <v>1</v>
      </c>
      <c r="CZ113">
        <f>AF113</f>
        <v>1</v>
      </c>
      <c r="DA113">
        <f>AJ113</f>
        <v>1</v>
      </c>
      <c r="DB113">
        <f t="shared" si="9"/>
        <v>12.61</v>
      </c>
      <c r="DC113">
        <f t="shared" si="10"/>
        <v>0</v>
      </c>
    </row>
    <row r="114" spans="1:107" x14ac:dyDescent="0.2">
      <c r="A114">
        <f>ROW(Source!A159)</f>
        <v>159</v>
      </c>
      <c r="B114">
        <v>45747932</v>
      </c>
      <c r="C114">
        <v>45748536</v>
      </c>
      <c r="D114">
        <v>24859885</v>
      </c>
      <c r="E114">
        <v>24859158</v>
      </c>
      <c r="F114">
        <v>1</v>
      </c>
      <c r="G114">
        <v>24859158</v>
      </c>
      <c r="H114">
        <v>2</v>
      </c>
      <c r="I114" t="s">
        <v>276</v>
      </c>
      <c r="J114" t="s">
        <v>3</v>
      </c>
      <c r="K114" t="s">
        <v>277</v>
      </c>
      <c r="L114">
        <v>1344</v>
      </c>
      <c r="N114">
        <v>1008</v>
      </c>
      <c r="O114" t="s">
        <v>278</v>
      </c>
      <c r="P114" t="s">
        <v>278</v>
      </c>
      <c r="Q114">
        <v>1</v>
      </c>
      <c r="W114">
        <v>0</v>
      </c>
      <c r="X114">
        <v>-1180195794</v>
      </c>
      <c r="Y114">
        <v>12.61</v>
      </c>
      <c r="AA114">
        <v>0</v>
      </c>
      <c r="AB114">
        <v>1</v>
      </c>
      <c r="AC114">
        <v>0</v>
      </c>
      <c r="AD114">
        <v>0</v>
      </c>
      <c r="AE114">
        <v>0</v>
      </c>
      <c r="AF114">
        <v>1</v>
      </c>
      <c r="AG114">
        <v>0</v>
      </c>
      <c r="AH114">
        <v>0</v>
      </c>
      <c r="AI114">
        <v>1</v>
      </c>
      <c r="AJ114">
        <v>1</v>
      </c>
      <c r="AK114">
        <v>1</v>
      </c>
      <c r="AL114">
        <v>1</v>
      </c>
      <c r="AN114">
        <v>0</v>
      </c>
      <c r="AO114">
        <v>1</v>
      </c>
      <c r="AP114">
        <v>1</v>
      </c>
      <c r="AQ114">
        <v>0</v>
      </c>
      <c r="AR114">
        <v>0</v>
      </c>
      <c r="AS114" t="s">
        <v>3</v>
      </c>
      <c r="AT114">
        <v>12.61</v>
      </c>
      <c r="AU114" t="s">
        <v>3</v>
      </c>
      <c r="AV114">
        <v>0</v>
      </c>
      <c r="AW114">
        <v>2</v>
      </c>
      <c r="AX114">
        <v>45748538</v>
      </c>
      <c r="AY114">
        <v>1</v>
      </c>
      <c r="AZ114">
        <v>0</v>
      </c>
      <c r="BA114">
        <v>114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CX114">
        <f>Y114*Source!I159</f>
        <v>508.43520000000001</v>
      </c>
      <c r="CY114">
        <f>AB114</f>
        <v>1</v>
      </c>
      <c r="CZ114">
        <f>AF114</f>
        <v>1</v>
      </c>
      <c r="DA114">
        <f>AJ114</f>
        <v>1</v>
      </c>
      <c r="DB114">
        <f t="shared" si="9"/>
        <v>12.61</v>
      </c>
      <c r="DC114">
        <f t="shared" si="10"/>
        <v>0</v>
      </c>
    </row>
    <row r="115" spans="1:107" x14ac:dyDescent="0.2">
      <c r="A115">
        <f>ROW(Source!A160)</f>
        <v>160</v>
      </c>
      <c r="B115">
        <v>45748053</v>
      </c>
      <c r="C115">
        <v>45748539</v>
      </c>
      <c r="D115">
        <v>24859163</v>
      </c>
      <c r="E115">
        <v>24859158</v>
      </c>
      <c r="F115">
        <v>1</v>
      </c>
      <c r="G115">
        <v>24859158</v>
      </c>
      <c r="H115">
        <v>1</v>
      </c>
      <c r="I115" t="s">
        <v>263</v>
      </c>
      <c r="J115" t="s">
        <v>3</v>
      </c>
      <c r="K115" t="s">
        <v>264</v>
      </c>
      <c r="L115">
        <v>1191</v>
      </c>
      <c r="N115">
        <v>1013</v>
      </c>
      <c r="O115" t="s">
        <v>265</v>
      </c>
      <c r="P115" t="s">
        <v>265</v>
      </c>
      <c r="Q115">
        <v>1</v>
      </c>
      <c r="W115">
        <v>0</v>
      </c>
      <c r="X115">
        <v>476480486</v>
      </c>
      <c r="Y115">
        <v>26.78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1</v>
      </c>
      <c r="AJ115">
        <v>1</v>
      </c>
      <c r="AK115">
        <v>1</v>
      </c>
      <c r="AL115">
        <v>1</v>
      </c>
      <c r="AN115">
        <v>0</v>
      </c>
      <c r="AO115">
        <v>1</v>
      </c>
      <c r="AP115">
        <v>0</v>
      </c>
      <c r="AQ115">
        <v>0</v>
      </c>
      <c r="AR115">
        <v>0</v>
      </c>
      <c r="AS115" t="s">
        <v>3</v>
      </c>
      <c r="AT115">
        <v>26.78</v>
      </c>
      <c r="AU115" t="s">
        <v>3</v>
      </c>
      <c r="AV115">
        <v>1</v>
      </c>
      <c r="AW115">
        <v>2</v>
      </c>
      <c r="AX115">
        <v>45748573</v>
      </c>
      <c r="AY115">
        <v>1</v>
      </c>
      <c r="AZ115">
        <v>0</v>
      </c>
      <c r="BA115">
        <v>115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CX115">
        <f>Y115*Source!I160</f>
        <v>38.563200000000002</v>
      </c>
      <c r="CY115">
        <f>AD115</f>
        <v>0</v>
      </c>
      <c r="CZ115">
        <f>AH115</f>
        <v>0</v>
      </c>
      <c r="DA115">
        <f>AL115</f>
        <v>1</v>
      </c>
      <c r="DB115">
        <f t="shared" ref="DB115:DB132" si="11">ROUND(ROUND(AT115*CZ115,2),6)</f>
        <v>0</v>
      </c>
      <c r="DC115">
        <f t="shared" ref="DC115:DC132" si="12">ROUND(ROUND(AT115*AG115,2),6)</f>
        <v>0</v>
      </c>
    </row>
    <row r="116" spans="1:107" x14ac:dyDescent="0.2">
      <c r="A116">
        <f>ROW(Source!A160)</f>
        <v>160</v>
      </c>
      <c r="B116">
        <v>45748053</v>
      </c>
      <c r="C116">
        <v>45748539</v>
      </c>
      <c r="D116">
        <v>24931592</v>
      </c>
      <c r="E116">
        <v>1</v>
      </c>
      <c r="F116">
        <v>1</v>
      </c>
      <c r="G116">
        <v>24859158</v>
      </c>
      <c r="H116">
        <v>2</v>
      </c>
      <c r="I116" t="s">
        <v>330</v>
      </c>
      <c r="J116" t="s">
        <v>331</v>
      </c>
      <c r="K116" t="s">
        <v>332</v>
      </c>
      <c r="L116">
        <v>1367</v>
      </c>
      <c r="N116">
        <v>1011</v>
      </c>
      <c r="O116" t="s">
        <v>269</v>
      </c>
      <c r="P116" t="s">
        <v>269</v>
      </c>
      <c r="Q116">
        <v>1</v>
      </c>
      <c r="W116">
        <v>0</v>
      </c>
      <c r="X116">
        <v>-1684065391</v>
      </c>
      <c r="Y116">
        <v>0.05</v>
      </c>
      <c r="AA116">
        <v>0</v>
      </c>
      <c r="AB116">
        <v>97.24</v>
      </c>
      <c r="AC116">
        <v>12.9</v>
      </c>
      <c r="AD116">
        <v>0</v>
      </c>
      <c r="AE116">
        <v>0</v>
      </c>
      <c r="AF116">
        <v>97.24</v>
      </c>
      <c r="AG116">
        <v>12.9</v>
      </c>
      <c r="AH116">
        <v>0</v>
      </c>
      <c r="AI116">
        <v>1</v>
      </c>
      <c r="AJ116">
        <v>1</v>
      </c>
      <c r="AK116">
        <v>1</v>
      </c>
      <c r="AL116">
        <v>1</v>
      </c>
      <c r="AN116">
        <v>0</v>
      </c>
      <c r="AO116">
        <v>1</v>
      </c>
      <c r="AP116">
        <v>0</v>
      </c>
      <c r="AQ116">
        <v>0</v>
      </c>
      <c r="AR116">
        <v>0</v>
      </c>
      <c r="AS116" t="s">
        <v>3</v>
      </c>
      <c r="AT116">
        <v>0.05</v>
      </c>
      <c r="AU116" t="s">
        <v>3</v>
      </c>
      <c r="AV116">
        <v>0</v>
      </c>
      <c r="AW116">
        <v>2</v>
      </c>
      <c r="AX116">
        <v>45748574</v>
      </c>
      <c r="AY116">
        <v>1</v>
      </c>
      <c r="AZ116">
        <v>0</v>
      </c>
      <c r="BA116">
        <v>116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CX116">
        <f>Y116*Source!I160</f>
        <v>7.1999999999999995E-2</v>
      </c>
      <c r="CY116">
        <f>AB116</f>
        <v>97.24</v>
      </c>
      <c r="CZ116">
        <f>AF116</f>
        <v>97.24</v>
      </c>
      <c r="DA116">
        <f>AJ116</f>
        <v>1</v>
      </c>
      <c r="DB116">
        <f t="shared" si="11"/>
        <v>4.8600000000000003</v>
      </c>
      <c r="DC116">
        <f t="shared" si="12"/>
        <v>0.65</v>
      </c>
    </row>
    <row r="117" spans="1:107" x14ac:dyDescent="0.2">
      <c r="A117">
        <f>ROW(Source!A160)</f>
        <v>160</v>
      </c>
      <c r="B117">
        <v>45748053</v>
      </c>
      <c r="C117">
        <v>45748539</v>
      </c>
      <c r="D117">
        <v>24859885</v>
      </c>
      <c r="E117">
        <v>24859158</v>
      </c>
      <c r="F117">
        <v>1</v>
      </c>
      <c r="G117">
        <v>24859158</v>
      </c>
      <c r="H117">
        <v>2</v>
      </c>
      <c r="I117" t="s">
        <v>276</v>
      </c>
      <c r="J117" t="s">
        <v>3</v>
      </c>
      <c r="K117" t="s">
        <v>277</v>
      </c>
      <c r="L117">
        <v>1344</v>
      </c>
      <c r="N117">
        <v>1008</v>
      </c>
      <c r="O117" t="s">
        <v>278</v>
      </c>
      <c r="P117" t="s">
        <v>278</v>
      </c>
      <c r="Q117">
        <v>1</v>
      </c>
      <c r="W117">
        <v>0</v>
      </c>
      <c r="X117">
        <v>-1180195794</v>
      </c>
      <c r="Y117">
        <v>0.12</v>
      </c>
      <c r="AA117">
        <v>0</v>
      </c>
      <c r="AB117">
        <v>1</v>
      </c>
      <c r="AC117">
        <v>0</v>
      </c>
      <c r="AD117">
        <v>0</v>
      </c>
      <c r="AE117">
        <v>0</v>
      </c>
      <c r="AF117">
        <v>1</v>
      </c>
      <c r="AG117">
        <v>0</v>
      </c>
      <c r="AH117">
        <v>0</v>
      </c>
      <c r="AI117">
        <v>1</v>
      </c>
      <c r="AJ117">
        <v>1</v>
      </c>
      <c r="AK117">
        <v>1</v>
      </c>
      <c r="AL117">
        <v>1</v>
      </c>
      <c r="AN117">
        <v>0</v>
      </c>
      <c r="AO117">
        <v>1</v>
      </c>
      <c r="AP117">
        <v>0</v>
      </c>
      <c r="AQ117">
        <v>0</v>
      </c>
      <c r="AR117">
        <v>0</v>
      </c>
      <c r="AS117" t="s">
        <v>3</v>
      </c>
      <c r="AT117">
        <v>0.12</v>
      </c>
      <c r="AU117" t="s">
        <v>3</v>
      </c>
      <c r="AV117">
        <v>0</v>
      </c>
      <c r="AW117">
        <v>2</v>
      </c>
      <c r="AX117">
        <v>45748575</v>
      </c>
      <c r="AY117">
        <v>1</v>
      </c>
      <c r="AZ117">
        <v>0</v>
      </c>
      <c r="BA117">
        <v>117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CX117">
        <f>Y117*Source!I160</f>
        <v>0.17279999999999998</v>
      </c>
      <c r="CY117">
        <f>AB117</f>
        <v>1</v>
      </c>
      <c r="CZ117">
        <f>AF117</f>
        <v>1</v>
      </c>
      <c r="DA117">
        <f>AJ117</f>
        <v>1</v>
      </c>
      <c r="DB117">
        <f t="shared" si="11"/>
        <v>0.12</v>
      </c>
      <c r="DC117">
        <f t="shared" si="12"/>
        <v>0</v>
      </c>
    </row>
    <row r="118" spans="1:107" x14ac:dyDescent="0.2">
      <c r="A118">
        <f>ROW(Source!A160)</f>
        <v>160</v>
      </c>
      <c r="B118">
        <v>45748053</v>
      </c>
      <c r="C118">
        <v>45748539</v>
      </c>
      <c r="D118">
        <v>24926541</v>
      </c>
      <c r="E118">
        <v>1</v>
      </c>
      <c r="F118">
        <v>1</v>
      </c>
      <c r="G118">
        <v>24859158</v>
      </c>
      <c r="H118">
        <v>3</v>
      </c>
      <c r="I118" t="s">
        <v>234</v>
      </c>
      <c r="J118" t="s">
        <v>236</v>
      </c>
      <c r="K118" t="s">
        <v>235</v>
      </c>
      <c r="L118">
        <v>1339</v>
      </c>
      <c r="N118">
        <v>1007</v>
      </c>
      <c r="O118" t="s">
        <v>150</v>
      </c>
      <c r="P118" t="s">
        <v>150</v>
      </c>
      <c r="Q118">
        <v>1</v>
      </c>
      <c r="W118">
        <v>0</v>
      </c>
      <c r="X118">
        <v>92320855</v>
      </c>
      <c r="Y118">
        <v>15</v>
      </c>
      <c r="AA118">
        <v>146.84</v>
      </c>
      <c r="AB118">
        <v>0</v>
      </c>
      <c r="AC118">
        <v>0</v>
      </c>
      <c r="AD118">
        <v>0</v>
      </c>
      <c r="AE118">
        <v>146.84</v>
      </c>
      <c r="AF118">
        <v>0</v>
      </c>
      <c r="AG118">
        <v>0</v>
      </c>
      <c r="AH118">
        <v>0</v>
      </c>
      <c r="AI118">
        <v>1</v>
      </c>
      <c r="AJ118">
        <v>1</v>
      </c>
      <c r="AK118">
        <v>1</v>
      </c>
      <c r="AL118">
        <v>1</v>
      </c>
      <c r="AN118">
        <v>0</v>
      </c>
      <c r="AO118">
        <v>0</v>
      </c>
      <c r="AP118">
        <v>0</v>
      </c>
      <c r="AQ118">
        <v>0</v>
      </c>
      <c r="AR118">
        <v>0</v>
      </c>
      <c r="AS118" t="s">
        <v>3</v>
      </c>
      <c r="AT118">
        <v>15</v>
      </c>
      <c r="AU118" t="s">
        <v>3</v>
      </c>
      <c r="AV118">
        <v>0</v>
      </c>
      <c r="AW118">
        <v>1</v>
      </c>
      <c r="AX118">
        <v>-1</v>
      </c>
      <c r="AY118">
        <v>0</v>
      </c>
      <c r="AZ118">
        <v>0</v>
      </c>
      <c r="BA118" t="s">
        <v>3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CX118">
        <f>Y118*Source!I160</f>
        <v>21.599999999999998</v>
      </c>
      <c r="CY118">
        <f>AA118</f>
        <v>146.84</v>
      </c>
      <c r="CZ118">
        <f>AE118</f>
        <v>146.84</v>
      </c>
      <c r="DA118">
        <f>AI118</f>
        <v>1</v>
      </c>
      <c r="DB118">
        <f t="shared" si="11"/>
        <v>2202.6</v>
      </c>
      <c r="DC118">
        <f t="shared" si="12"/>
        <v>0</v>
      </c>
    </row>
    <row r="119" spans="1:107" x14ac:dyDescent="0.2">
      <c r="A119">
        <f>ROW(Source!A161)</f>
        <v>161</v>
      </c>
      <c r="B119">
        <v>45747932</v>
      </c>
      <c r="C119">
        <v>45748539</v>
      </c>
      <c r="D119">
        <v>24859163</v>
      </c>
      <c r="E119">
        <v>24859158</v>
      </c>
      <c r="F119">
        <v>1</v>
      </c>
      <c r="G119">
        <v>24859158</v>
      </c>
      <c r="H119">
        <v>1</v>
      </c>
      <c r="I119" t="s">
        <v>263</v>
      </c>
      <c r="J119" t="s">
        <v>3</v>
      </c>
      <c r="K119" t="s">
        <v>264</v>
      </c>
      <c r="L119">
        <v>1191</v>
      </c>
      <c r="N119">
        <v>1013</v>
      </c>
      <c r="O119" t="s">
        <v>265</v>
      </c>
      <c r="P119" t="s">
        <v>265</v>
      </c>
      <c r="Q119">
        <v>1</v>
      </c>
      <c r="W119">
        <v>0</v>
      </c>
      <c r="X119">
        <v>476480486</v>
      </c>
      <c r="Y119">
        <v>26.78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1</v>
      </c>
      <c r="AJ119">
        <v>1</v>
      </c>
      <c r="AK119">
        <v>1</v>
      </c>
      <c r="AL119">
        <v>1</v>
      </c>
      <c r="AN119">
        <v>0</v>
      </c>
      <c r="AO119">
        <v>1</v>
      </c>
      <c r="AP119">
        <v>0</v>
      </c>
      <c r="AQ119">
        <v>0</v>
      </c>
      <c r="AR119">
        <v>0</v>
      </c>
      <c r="AS119" t="s">
        <v>3</v>
      </c>
      <c r="AT119">
        <v>26.78</v>
      </c>
      <c r="AU119" t="s">
        <v>3</v>
      </c>
      <c r="AV119">
        <v>1</v>
      </c>
      <c r="AW119">
        <v>2</v>
      </c>
      <c r="AX119">
        <v>45748573</v>
      </c>
      <c r="AY119">
        <v>1</v>
      </c>
      <c r="AZ119">
        <v>0</v>
      </c>
      <c r="BA119">
        <v>119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CX119">
        <f>Y119*Source!I161</f>
        <v>38.563200000000002</v>
      </c>
      <c r="CY119">
        <f>AD119</f>
        <v>0</v>
      </c>
      <c r="CZ119">
        <f>AH119</f>
        <v>0</v>
      </c>
      <c r="DA119">
        <f>AL119</f>
        <v>1</v>
      </c>
      <c r="DB119">
        <f t="shared" si="11"/>
        <v>0</v>
      </c>
      <c r="DC119">
        <f t="shared" si="12"/>
        <v>0</v>
      </c>
    </row>
    <row r="120" spans="1:107" x14ac:dyDescent="0.2">
      <c r="A120">
        <f>ROW(Source!A161)</f>
        <v>161</v>
      </c>
      <c r="B120">
        <v>45747932</v>
      </c>
      <c r="C120">
        <v>45748539</v>
      </c>
      <c r="D120">
        <v>24931592</v>
      </c>
      <c r="E120">
        <v>1</v>
      </c>
      <c r="F120">
        <v>1</v>
      </c>
      <c r="G120">
        <v>24859158</v>
      </c>
      <c r="H120">
        <v>2</v>
      </c>
      <c r="I120" t="s">
        <v>330</v>
      </c>
      <c r="J120" t="s">
        <v>331</v>
      </c>
      <c r="K120" t="s">
        <v>332</v>
      </c>
      <c r="L120">
        <v>1367</v>
      </c>
      <c r="N120">
        <v>1011</v>
      </c>
      <c r="O120" t="s">
        <v>269</v>
      </c>
      <c r="P120" t="s">
        <v>269</v>
      </c>
      <c r="Q120">
        <v>1</v>
      </c>
      <c r="W120">
        <v>0</v>
      </c>
      <c r="X120">
        <v>-1684065391</v>
      </c>
      <c r="Y120">
        <v>0.05</v>
      </c>
      <c r="AA120">
        <v>0</v>
      </c>
      <c r="AB120">
        <v>941.28</v>
      </c>
      <c r="AC120">
        <v>324.18</v>
      </c>
      <c r="AD120">
        <v>0</v>
      </c>
      <c r="AE120">
        <v>0</v>
      </c>
      <c r="AF120">
        <v>97.24</v>
      </c>
      <c r="AG120">
        <v>12.9</v>
      </c>
      <c r="AH120">
        <v>0</v>
      </c>
      <c r="AI120">
        <v>1</v>
      </c>
      <c r="AJ120">
        <v>9.68</v>
      </c>
      <c r="AK120">
        <v>25.13</v>
      </c>
      <c r="AL120">
        <v>1</v>
      </c>
      <c r="AN120">
        <v>0</v>
      </c>
      <c r="AO120">
        <v>1</v>
      </c>
      <c r="AP120">
        <v>0</v>
      </c>
      <c r="AQ120">
        <v>0</v>
      </c>
      <c r="AR120">
        <v>0</v>
      </c>
      <c r="AS120" t="s">
        <v>3</v>
      </c>
      <c r="AT120">
        <v>0.05</v>
      </c>
      <c r="AU120" t="s">
        <v>3</v>
      </c>
      <c r="AV120">
        <v>0</v>
      </c>
      <c r="AW120">
        <v>2</v>
      </c>
      <c r="AX120">
        <v>45748574</v>
      </c>
      <c r="AY120">
        <v>1</v>
      </c>
      <c r="AZ120">
        <v>0</v>
      </c>
      <c r="BA120">
        <v>120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CX120">
        <f>Y120*Source!I161</f>
        <v>7.1999999999999995E-2</v>
      </c>
      <c r="CY120">
        <f>AB120</f>
        <v>941.28</v>
      </c>
      <c r="CZ120">
        <f>AF120</f>
        <v>97.24</v>
      </c>
      <c r="DA120">
        <f>AJ120</f>
        <v>9.68</v>
      </c>
      <c r="DB120">
        <f t="shared" si="11"/>
        <v>4.8600000000000003</v>
      </c>
      <c r="DC120">
        <f t="shared" si="12"/>
        <v>0.65</v>
      </c>
    </row>
    <row r="121" spans="1:107" x14ac:dyDescent="0.2">
      <c r="A121">
        <f>ROW(Source!A161)</f>
        <v>161</v>
      </c>
      <c r="B121">
        <v>45747932</v>
      </c>
      <c r="C121">
        <v>45748539</v>
      </c>
      <c r="D121">
        <v>24859885</v>
      </c>
      <c r="E121">
        <v>24859158</v>
      </c>
      <c r="F121">
        <v>1</v>
      </c>
      <c r="G121">
        <v>24859158</v>
      </c>
      <c r="H121">
        <v>2</v>
      </c>
      <c r="I121" t="s">
        <v>276</v>
      </c>
      <c r="J121" t="s">
        <v>3</v>
      </c>
      <c r="K121" t="s">
        <v>277</v>
      </c>
      <c r="L121">
        <v>1344</v>
      </c>
      <c r="N121">
        <v>1008</v>
      </c>
      <c r="O121" t="s">
        <v>278</v>
      </c>
      <c r="P121" t="s">
        <v>278</v>
      </c>
      <c r="Q121">
        <v>1</v>
      </c>
      <c r="W121">
        <v>0</v>
      </c>
      <c r="X121">
        <v>-1180195794</v>
      </c>
      <c r="Y121">
        <v>0.12</v>
      </c>
      <c r="AA121">
        <v>0</v>
      </c>
      <c r="AB121">
        <v>1</v>
      </c>
      <c r="AC121">
        <v>0</v>
      </c>
      <c r="AD121">
        <v>0</v>
      </c>
      <c r="AE121">
        <v>0</v>
      </c>
      <c r="AF121">
        <v>1</v>
      </c>
      <c r="AG121">
        <v>0</v>
      </c>
      <c r="AH121">
        <v>0</v>
      </c>
      <c r="AI121">
        <v>1</v>
      </c>
      <c r="AJ121">
        <v>1</v>
      </c>
      <c r="AK121">
        <v>1</v>
      </c>
      <c r="AL121">
        <v>1</v>
      </c>
      <c r="AN121">
        <v>0</v>
      </c>
      <c r="AO121">
        <v>1</v>
      </c>
      <c r="AP121">
        <v>0</v>
      </c>
      <c r="AQ121">
        <v>0</v>
      </c>
      <c r="AR121">
        <v>0</v>
      </c>
      <c r="AS121" t="s">
        <v>3</v>
      </c>
      <c r="AT121">
        <v>0.12</v>
      </c>
      <c r="AU121" t="s">
        <v>3</v>
      </c>
      <c r="AV121">
        <v>0</v>
      </c>
      <c r="AW121">
        <v>2</v>
      </c>
      <c r="AX121">
        <v>45748575</v>
      </c>
      <c r="AY121">
        <v>1</v>
      </c>
      <c r="AZ121">
        <v>0</v>
      </c>
      <c r="BA121">
        <v>121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CX121">
        <f>Y121*Source!I161</f>
        <v>0.17279999999999998</v>
      </c>
      <c r="CY121">
        <f>AB121</f>
        <v>1</v>
      </c>
      <c r="CZ121">
        <f>AF121</f>
        <v>1</v>
      </c>
      <c r="DA121">
        <f>AJ121</f>
        <v>1</v>
      </c>
      <c r="DB121">
        <f t="shared" si="11"/>
        <v>0.12</v>
      </c>
      <c r="DC121">
        <f t="shared" si="12"/>
        <v>0</v>
      </c>
    </row>
    <row r="122" spans="1:107" x14ac:dyDescent="0.2">
      <c r="A122">
        <f>ROW(Source!A161)</f>
        <v>161</v>
      </c>
      <c r="B122">
        <v>45747932</v>
      </c>
      <c r="C122">
        <v>45748539</v>
      </c>
      <c r="D122">
        <v>24926541</v>
      </c>
      <c r="E122">
        <v>1</v>
      </c>
      <c r="F122">
        <v>1</v>
      </c>
      <c r="G122">
        <v>24859158</v>
      </c>
      <c r="H122">
        <v>3</v>
      </c>
      <c r="I122" t="s">
        <v>234</v>
      </c>
      <c r="J122" t="s">
        <v>236</v>
      </c>
      <c r="K122" t="s">
        <v>235</v>
      </c>
      <c r="L122">
        <v>1339</v>
      </c>
      <c r="N122">
        <v>1007</v>
      </c>
      <c r="O122" t="s">
        <v>150</v>
      </c>
      <c r="P122" t="s">
        <v>150</v>
      </c>
      <c r="Q122">
        <v>1</v>
      </c>
      <c r="W122">
        <v>0</v>
      </c>
      <c r="X122">
        <v>92320855</v>
      </c>
      <c r="Y122">
        <v>15</v>
      </c>
      <c r="AA122">
        <v>935.37</v>
      </c>
      <c r="AB122">
        <v>0</v>
      </c>
      <c r="AC122">
        <v>0</v>
      </c>
      <c r="AD122">
        <v>0</v>
      </c>
      <c r="AE122">
        <v>146.84</v>
      </c>
      <c r="AF122">
        <v>0</v>
      </c>
      <c r="AG122">
        <v>0</v>
      </c>
      <c r="AH122">
        <v>0</v>
      </c>
      <c r="AI122">
        <v>6.37</v>
      </c>
      <c r="AJ122">
        <v>1</v>
      </c>
      <c r="AK122">
        <v>1</v>
      </c>
      <c r="AL122">
        <v>1</v>
      </c>
      <c r="AN122">
        <v>0</v>
      </c>
      <c r="AO122">
        <v>0</v>
      </c>
      <c r="AP122">
        <v>0</v>
      </c>
      <c r="AQ122">
        <v>0</v>
      </c>
      <c r="AR122">
        <v>0</v>
      </c>
      <c r="AS122" t="s">
        <v>3</v>
      </c>
      <c r="AT122">
        <v>15</v>
      </c>
      <c r="AU122" t="s">
        <v>3</v>
      </c>
      <c r="AV122">
        <v>0</v>
      </c>
      <c r="AW122">
        <v>1</v>
      </c>
      <c r="AX122">
        <v>-1</v>
      </c>
      <c r="AY122">
        <v>0</v>
      </c>
      <c r="AZ122">
        <v>0</v>
      </c>
      <c r="BA122" t="s">
        <v>3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CX122">
        <f>Y122*Source!I161</f>
        <v>21.599999999999998</v>
      </c>
      <c r="CY122">
        <f>AA122</f>
        <v>935.37</v>
      </c>
      <c r="CZ122">
        <f>AE122</f>
        <v>146.84</v>
      </c>
      <c r="DA122">
        <f>AI122</f>
        <v>6.37</v>
      </c>
      <c r="DB122">
        <f t="shared" si="11"/>
        <v>2202.6</v>
      </c>
      <c r="DC122">
        <f t="shared" si="12"/>
        <v>0</v>
      </c>
    </row>
    <row r="123" spans="1:107" x14ac:dyDescent="0.2">
      <c r="A123">
        <f>ROW(Source!A164)</f>
        <v>164</v>
      </c>
      <c r="B123">
        <v>45748053</v>
      </c>
      <c r="C123">
        <v>45748549</v>
      </c>
      <c r="D123">
        <v>24859163</v>
      </c>
      <c r="E123">
        <v>24859158</v>
      </c>
      <c r="F123">
        <v>1</v>
      </c>
      <c r="G123">
        <v>24859158</v>
      </c>
      <c r="H123">
        <v>1</v>
      </c>
      <c r="I123" t="s">
        <v>263</v>
      </c>
      <c r="J123" t="s">
        <v>3</v>
      </c>
      <c r="K123" t="s">
        <v>264</v>
      </c>
      <c r="L123">
        <v>1191</v>
      </c>
      <c r="N123">
        <v>1013</v>
      </c>
      <c r="O123" t="s">
        <v>265</v>
      </c>
      <c r="P123" t="s">
        <v>265</v>
      </c>
      <c r="Q123">
        <v>1</v>
      </c>
      <c r="W123">
        <v>0</v>
      </c>
      <c r="X123">
        <v>476480486</v>
      </c>
      <c r="Y123">
        <v>40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1</v>
      </c>
      <c r="AJ123">
        <v>1</v>
      </c>
      <c r="AK123">
        <v>1</v>
      </c>
      <c r="AL123">
        <v>1</v>
      </c>
      <c r="AN123">
        <v>0</v>
      </c>
      <c r="AO123">
        <v>1</v>
      </c>
      <c r="AP123">
        <v>0</v>
      </c>
      <c r="AQ123">
        <v>0</v>
      </c>
      <c r="AR123">
        <v>0</v>
      </c>
      <c r="AS123" t="s">
        <v>3</v>
      </c>
      <c r="AT123">
        <v>40</v>
      </c>
      <c r="AU123" t="s">
        <v>3</v>
      </c>
      <c r="AV123">
        <v>1</v>
      </c>
      <c r="AW123">
        <v>2</v>
      </c>
      <c r="AX123">
        <v>45748552</v>
      </c>
      <c r="AY123">
        <v>1</v>
      </c>
      <c r="AZ123">
        <v>0</v>
      </c>
      <c r="BA123">
        <v>123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CX123">
        <f>Y123*Source!I164</f>
        <v>19.2</v>
      </c>
      <c r="CY123">
        <f>AD123</f>
        <v>0</v>
      </c>
      <c r="CZ123">
        <f>AH123</f>
        <v>0</v>
      </c>
      <c r="DA123">
        <f>AL123</f>
        <v>1</v>
      </c>
      <c r="DB123">
        <f t="shared" si="11"/>
        <v>0</v>
      </c>
      <c r="DC123">
        <f t="shared" si="12"/>
        <v>0</v>
      </c>
    </row>
    <row r="124" spans="1:107" x14ac:dyDescent="0.2">
      <c r="A124">
        <f>ROW(Source!A164)</f>
        <v>164</v>
      </c>
      <c r="B124">
        <v>45748053</v>
      </c>
      <c r="C124">
        <v>45748549</v>
      </c>
      <c r="D124">
        <v>24926541</v>
      </c>
      <c r="E124">
        <v>1</v>
      </c>
      <c r="F124">
        <v>1</v>
      </c>
      <c r="G124">
        <v>24859158</v>
      </c>
      <c r="H124">
        <v>3</v>
      </c>
      <c r="I124" t="s">
        <v>234</v>
      </c>
      <c r="J124" t="s">
        <v>236</v>
      </c>
      <c r="K124" t="s">
        <v>235</v>
      </c>
      <c r="L124">
        <v>1339</v>
      </c>
      <c r="N124">
        <v>1007</v>
      </c>
      <c r="O124" t="s">
        <v>150</v>
      </c>
      <c r="P124" t="s">
        <v>150</v>
      </c>
      <c r="Q124">
        <v>1</v>
      </c>
      <c r="W124">
        <v>0</v>
      </c>
      <c r="X124">
        <v>92320855</v>
      </c>
      <c r="Y124">
        <v>15</v>
      </c>
      <c r="AA124">
        <v>146.84</v>
      </c>
      <c r="AB124">
        <v>0</v>
      </c>
      <c r="AC124">
        <v>0</v>
      </c>
      <c r="AD124">
        <v>0</v>
      </c>
      <c r="AE124">
        <v>146.84</v>
      </c>
      <c r="AF124">
        <v>0</v>
      </c>
      <c r="AG124">
        <v>0</v>
      </c>
      <c r="AH124">
        <v>0</v>
      </c>
      <c r="AI124">
        <v>1</v>
      </c>
      <c r="AJ124">
        <v>1</v>
      </c>
      <c r="AK124">
        <v>1</v>
      </c>
      <c r="AL124">
        <v>1</v>
      </c>
      <c r="AN124">
        <v>0</v>
      </c>
      <c r="AO124">
        <v>0</v>
      </c>
      <c r="AP124">
        <v>0</v>
      </c>
      <c r="AQ124">
        <v>0</v>
      </c>
      <c r="AR124">
        <v>0</v>
      </c>
      <c r="AS124" t="s">
        <v>3</v>
      </c>
      <c r="AT124">
        <v>15</v>
      </c>
      <c r="AU124" t="s">
        <v>3</v>
      </c>
      <c r="AV124">
        <v>0</v>
      </c>
      <c r="AW124">
        <v>1</v>
      </c>
      <c r="AX124">
        <v>-1</v>
      </c>
      <c r="AY124">
        <v>0</v>
      </c>
      <c r="AZ124">
        <v>0</v>
      </c>
      <c r="BA124" t="s">
        <v>3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CX124">
        <f>Y124*Source!I164</f>
        <v>7.1999999999999993</v>
      </c>
      <c r="CY124">
        <f>AA124</f>
        <v>146.84</v>
      </c>
      <c r="CZ124">
        <f>AE124</f>
        <v>146.84</v>
      </c>
      <c r="DA124">
        <f>AI124</f>
        <v>1</v>
      </c>
      <c r="DB124">
        <f t="shared" si="11"/>
        <v>2202.6</v>
      </c>
      <c r="DC124">
        <f t="shared" si="12"/>
        <v>0</v>
      </c>
    </row>
    <row r="125" spans="1:107" x14ac:dyDescent="0.2">
      <c r="A125">
        <f>ROW(Source!A165)</f>
        <v>165</v>
      </c>
      <c r="B125">
        <v>45747932</v>
      </c>
      <c r="C125">
        <v>45748549</v>
      </c>
      <c r="D125">
        <v>24859163</v>
      </c>
      <c r="E125">
        <v>24859158</v>
      </c>
      <c r="F125">
        <v>1</v>
      </c>
      <c r="G125">
        <v>24859158</v>
      </c>
      <c r="H125">
        <v>1</v>
      </c>
      <c r="I125" t="s">
        <v>263</v>
      </c>
      <c r="J125" t="s">
        <v>3</v>
      </c>
      <c r="K125" t="s">
        <v>264</v>
      </c>
      <c r="L125">
        <v>1191</v>
      </c>
      <c r="N125">
        <v>1013</v>
      </c>
      <c r="O125" t="s">
        <v>265</v>
      </c>
      <c r="P125" t="s">
        <v>265</v>
      </c>
      <c r="Q125">
        <v>1</v>
      </c>
      <c r="W125">
        <v>0</v>
      </c>
      <c r="X125">
        <v>476480486</v>
      </c>
      <c r="Y125">
        <v>40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1</v>
      </c>
      <c r="AJ125">
        <v>1</v>
      </c>
      <c r="AK125">
        <v>1</v>
      </c>
      <c r="AL125">
        <v>1</v>
      </c>
      <c r="AN125">
        <v>0</v>
      </c>
      <c r="AO125">
        <v>1</v>
      </c>
      <c r="AP125">
        <v>0</v>
      </c>
      <c r="AQ125">
        <v>0</v>
      </c>
      <c r="AR125">
        <v>0</v>
      </c>
      <c r="AS125" t="s">
        <v>3</v>
      </c>
      <c r="AT125">
        <v>40</v>
      </c>
      <c r="AU125" t="s">
        <v>3</v>
      </c>
      <c r="AV125">
        <v>1</v>
      </c>
      <c r="AW125">
        <v>2</v>
      </c>
      <c r="AX125">
        <v>45748552</v>
      </c>
      <c r="AY125">
        <v>1</v>
      </c>
      <c r="AZ125">
        <v>0</v>
      </c>
      <c r="BA125">
        <v>125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CX125">
        <f>Y125*Source!I165</f>
        <v>19.2</v>
      </c>
      <c r="CY125">
        <f>AD125</f>
        <v>0</v>
      </c>
      <c r="CZ125">
        <f>AH125</f>
        <v>0</v>
      </c>
      <c r="DA125">
        <f>AL125</f>
        <v>1</v>
      </c>
      <c r="DB125">
        <f t="shared" si="11"/>
        <v>0</v>
      </c>
      <c r="DC125">
        <f t="shared" si="12"/>
        <v>0</v>
      </c>
    </row>
    <row r="126" spans="1:107" x14ac:dyDescent="0.2">
      <c r="A126">
        <f>ROW(Source!A165)</f>
        <v>165</v>
      </c>
      <c r="B126">
        <v>45747932</v>
      </c>
      <c r="C126">
        <v>45748549</v>
      </c>
      <c r="D126">
        <v>24926541</v>
      </c>
      <c r="E126">
        <v>1</v>
      </c>
      <c r="F126">
        <v>1</v>
      </c>
      <c r="G126">
        <v>24859158</v>
      </c>
      <c r="H126">
        <v>3</v>
      </c>
      <c r="I126" t="s">
        <v>234</v>
      </c>
      <c r="J126" t="s">
        <v>236</v>
      </c>
      <c r="K126" t="s">
        <v>235</v>
      </c>
      <c r="L126">
        <v>1339</v>
      </c>
      <c r="N126">
        <v>1007</v>
      </c>
      <c r="O126" t="s">
        <v>150</v>
      </c>
      <c r="P126" t="s">
        <v>150</v>
      </c>
      <c r="Q126">
        <v>1</v>
      </c>
      <c r="W126">
        <v>0</v>
      </c>
      <c r="X126">
        <v>92320855</v>
      </c>
      <c r="Y126">
        <v>15</v>
      </c>
      <c r="AA126">
        <v>935.37</v>
      </c>
      <c r="AB126">
        <v>0</v>
      </c>
      <c r="AC126">
        <v>0</v>
      </c>
      <c r="AD126">
        <v>0</v>
      </c>
      <c r="AE126">
        <v>146.84</v>
      </c>
      <c r="AF126">
        <v>0</v>
      </c>
      <c r="AG126">
        <v>0</v>
      </c>
      <c r="AH126">
        <v>0</v>
      </c>
      <c r="AI126">
        <v>6.37</v>
      </c>
      <c r="AJ126">
        <v>1</v>
      </c>
      <c r="AK126">
        <v>1</v>
      </c>
      <c r="AL126">
        <v>1</v>
      </c>
      <c r="AN126">
        <v>0</v>
      </c>
      <c r="AO126">
        <v>0</v>
      </c>
      <c r="AP126">
        <v>0</v>
      </c>
      <c r="AQ126">
        <v>0</v>
      </c>
      <c r="AR126">
        <v>0</v>
      </c>
      <c r="AS126" t="s">
        <v>3</v>
      </c>
      <c r="AT126">
        <v>15</v>
      </c>
      <c r="AU126" t="s">
        <v>3</v>
      </c>
      <c r="AV126">
        <v>0</v>
      </c>
      <c r="AW126">
        <v>1</v>
      </c>
      <c r="AX126">
        <v>-1</v>
      </c>
      <c r="AY126">
        <v>0</v>
      </c>
      <c r="AZ126">
        <v>0</v>
      </c>
      <c r="BA126" t="s">
        <v>3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CX126">
        <f>Y126*Source!I165</f>
        <v>7.1999999999999993</v>
      </c>
      <c r="CY126">
        <f>AA126</f>
        <v>935.37</v>
      </c>
      <c r="CZ126">
        <f>AE126</f>
        <v>146.84</v>
      </c>
      <c r="DA126">
        <f>AI126</f>
        <v>6.37</v>
      </c>
      <c r="DB126">
        <f t="shared" si="11"/>
        <v>2202.6</v>
      </c>
      <c r="DC126">
        <f t="shared" si="12"/>
        <v>0</v>
      </c>
    </row>
    <row r="127" spans="1:107" x14ac:dyDescent="0.2">
      <c r="A127">
        <f>ROW(Source!A168)</f>
        <v>168</v>
      </c>
      <c r="B127">
        <v>45748053</v>
      </c>
      <c r="C127">
        <v>45748561</v>
      </c>
      <c r="D127">
        <v>24859163</v>
      </c>
      <c r="E127">
        <v>24859158</v>
      </c>
      <c r="F127">
        <v>1</v>
      </c>
      <c r="G127">
        <v>24859158</v>
      </c>
      <c r="H127">
        <v>1</v>
      </c>
      <c r="I127" t="s">
        <v>263</v>
      </c>
      <c r="J127" t="s">
        <v>3</v>
      </c>
      <c r="K127" t="s">
        <v>264</v>
      </c>
      <c r="L127">
        <v>1191</v>
      </c>
      <c r="N127">
        <v>1013</v>
      </c>
      <c r="O127" t="s">
        <v>265</v>
      </c>
      <c r="P127" t="s">
        <v>265</v>
      </c>
      <c r="Q127">
        <v>1</v>
      </c>
      <c r="W127">
        <v>0</v>
      </c>
      <c r="X127">
        <v>476480486</v>
      </c>
      <c r="Y127">
        <v>5.25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0</v>
      </c>
      <c r="AI127">
        <v>1</v>
      </c>
      <c r="AJ127">
        <v>1</v>
      </c>
      <c r="AK127">
        <v>1</v>
      </c>
      <c r="AL127">
        <v>1</v>
      </c>
      <c r="AN127">
        <v>0</v>
      </c>
      <c r="AO127">
        <v>1</v>
      </c>
      <c r="AP127">
        <v>0</v>
      </c>
      <c r="AQ127">
        <v>0</v>
      </c>
      <c r="AR127">
        <v>0</v>
      </c>
      <c r="AS127" t="s">
        <v>3</v>
      </c>
      <c r="AT127">
        <v>5.25</v>
      </c>
      <c r="AU127" t="s">
        <v>3</v>
      </c>
      <c r="AV127">
        <v>1</v>
      </c>
      <c r="AW127">
        <v>2</v>
      </c>
      <c r="AX127">
        <v>45748565</v>
      </c>
      <c r="AY127">
        <v>1</v>
      </c>
      <c r="AZ127">
        <v>0</v>
      </c>
      <c r="BA127">
        <v>127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CX127">
        <f>Y127*Source!I168</f>
        <v>10.08</v>
      </c>
      <c r="CY127">
        <f>AD127</f>
        <v>0</v>
      </c>
      <c r="CZ127">
        <f>AH127</f>
        <v>0</v>
      </c>
      <c r="DA127">
        <f>AL127</f>
        <v>1</v>
      </c>
      <c r="DB127">
        <f t="shared" si="11"/>
        <v>0</v>
      </c>
      <c r="DC127">
        <f t="shared" si="12"/>
        <v>0</v>
      </c>
    </row>
    <row r="128" spans="1:107" x14ac:dyDescent="0.2">
      <c r="A128">
        <f>ROW(Source!A168)</f>
        <v>168</v>
      </c>
      <c r="B128">
        <v>45748053</v>
      </c>
      <c r="C128">
        <v>45748561</v>
      </c>
      <c r="D128">
        <v>24907493</v>
      </c>
      <c r="E128">
        <v>1</v>
      </c>
      <c r="F128">
        <v>1</v>
      </c>
      <c r="G128">
        <v>24859158</v>
      </c>
      <c r="H128">
        <v>3</v>
      </c>
      <c r="I128" t="s">
        <v>300</v>
      </c>
      <c r="J128" t="s">
        <v>301</v>
      </c>
      <c r="K128" t="s">
        <v>302</v>
      </c>
      <c r="L128">
        <v>1339</v>
      </c>
      <c r="N128">
        <v>1007</v>
      </c>
      <c r="O128" t="s">
        <v>150</v>
      </c>
      <c r="P128" t="s">
        <v>150</v>
      </c>
      <c r="Q128">
        <v>1</v>
      </c>
      <c r="W128">
        <v>0</v>
      </c>
      <c r="X128">
        <v>-862991314</v>
      </c>
      <c r="Y128">
        <v>10</v>
      </c>
      <c r="AA128">
        <v>7.07</v>
      </c>
      <c r="AB128">
        <v>0</v>
      </c>
      <c r="AC128">
        <v>0</v>
      </c>
      <c r="AD128">
        <v>0</v>
      </c>
      <c r="AE128">
        <v>7.07</v>
      </c>
      <c r="AF128">
        <v>0</v>
      </c>
      <c r="AG128">
        <v>0</v>
      </c>
      <c r="AH128">
        <v>0</v>
      </c>
      <c r="AI128">
        <v>1</v>
      </c>
      <c r="AJ128">
        <v>1</v>
      </c>
      <c r="AK128">
        <v>1</v>
      </c>
      <c r="AL128">
        <v>1</v>
      </c>
      <c r="AN128">
        <v>0</v>
      </c>
      <c r="AO128">
        <v>1</v>
      </c>
      <c r="AP128">
        <v>0</v>
      </c>
      <c r="AQ128">
        <v>0</v>
      </c>
      <c r="AR128">
        <v>0</v>
      </c>
      <c r="AS128" t="s">
        <v>3</v>
      </c>
      <c r="AT128">
        <v>10</v>
      </c>
      <c r="AU128" t="s">
        <v>3</v>
      </c>
      <c r="AV128">
        <v>0</v>
      </c>
      <c r="AW128">
        <v>2</v>
      </c>
      <c r="AX128">
        <v>45748566</v>
      </c>
      <c r="AY128">
        <v>1</v>
      </c>
      <c r="AZ128">
        <v>0</v>
      </c>
      <c r="BA128">
        <v>128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CX128">
        <f>Y128*Source!I168</f>
        <v>19.2</v>
      </c>
      <c r="CY128">
        <f>AA128</f>
        <v>7.07</v>
      </c>
      <c r="CZ128">
        <f>AE128</f>
        <v>7.07</v>
      </c>
      <c r="DA128">
        <f>AI128</f>
        <v>1</v>
      </c>
      <c r="DB128">
        <f t="shared" si="11"/>
        <v>70.7</v>
      </c>
      <c r="DC128">
        <f t="shared" si="12"/>
        <v>0</v>
      </c>
    </row>
    <row r="129" spans="1:107" x14ac:dyDescent="0.2">
      <c r="A129">
        <f>ROW(Source!A168)</f>
        <v>168</v>
      </c>
      <c r="B129">
        <v>45748053</v>
      </c>
      <c r="C129">
        <v>45748561</v>
      </c>
      <c r="D129">
        <v>24926545</v>
      </c>
      <c r="E129">
        <v>1</v>
      </c>
      <c r="F129">
        <v>1</v>
      </c>
      <c r="G129">
        <v>24859158</v>
      </c>
      <c r="H129">
        <v>3</v>
      </c>
      <c r="I129" t="s">
        <v>247</v>
      </c>
      <c r="J129" t="s">
        <v>250</v>
      </c>
      <c r="K129" t="s">
        <v>248</v>
      </c>
      <c r="L129">
        <v>1346</v>
      </c>
      <c r="N129">
        <v>1009</v>
      </c>
      <c r="O129" t="s">
        <v>249</v>
      </c>
      <c r="P129" t="s">
        <v>249</v>
      </c>
      <c r="Q129">
        <v>1</v>
      </c>
      <c r="W129">
        <v>0</v>
      </c>
      <c r="X129">
        <v>735025367</v>
      </c>
      <c r="Y129">
        <v>4</v>
      </c>
      <c r="AA129">
        <v>57.93</v>
      </c>
      <c r="AB129">
        <v>0</v>
      </c>
      <c r="AC129">
        <v>0</v>
      </c>
      <c r="AD129">
        <v>0</v>
      </c>
      <c r="AE129">
        <v>57.93</v>
      </c>
      <c r="AF129">
        <v>0</v>
      </c>
      <c r="AG129">
        <v>0</v>
      </c>
      <c r="AH129">
        <v>0</v>
      </c>
      <c r="AI129">
        <v>1</v>
      </c>
      <c r="AJ129">
        <v>1</v>
      </c>
      <c r="AK129">
        <v>1</v>
      </c>
      <c r="AL129">
        <v>1</v>
      </c>
      <c r="AN129">
        <v>0</v>
      </c>
      <c r="AO129">
        <v>0</v>
      </c>
      <c r="AP129">
        <v>0</v>
      </c>
      <c r="AQ129">
        <v>0</v>
      </c>
      <c r="AR129">
        <v>0</v>
      </c>
      <c r="AS129" t="s">
        <v>3</v>
      </c>
      <c r="AT129">
        <v>4</v>
      </c>
      <c r="AU129" t="s">
        <v>3</v>
      </c>
      <c r="AV129">
        <v>0</v>
      </c>
      <c r="AW129">
        <v>1</v>
      </c>
      <c r="AX129">
        <v>-1</v>
      </c>
      <c r="AY129">
        <v>0</v>
      </c>
      <c r="AZ129">
        <v>0</v>
      </c>
      <c r="BA129" t="s">
        <v>3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CX129">
        <f>Y129*Source!I168</f>
        <v>7.68</v>
      </c>
      <c r="CY129">
        <f>AA129</f>
        <v>57.93</v>
      </c>
      <c r="CZ129">
        <f>AE129</f>
        <v>57.93</v>
      </c>
      <c r="DA129">
        <f>AI129</f>
        <v>1</v>
      </c>
      <c r="DB129">
        <f t="shared" si="11"/>
        <v>231.72</v>
      </c>
      <c r="DC129">
        <f t="shared" si="12"/>
        <v>0</v>
      </c>
    </row>
    <row r="130" spans="1:107" x14ac:dyDescent="0.2">
      <c r="A130">
        <f>ROW(Source!A169)</f>
        <v>169</v>
      </c>
      <c r="B130">
        <v>45747932</v>
      </c>
      <c r="C130">
        <v>45748561</v>
      </c>
      <c r="D130">
        <v>24859163</v>
      </c>
      <c r="E130">
        <v>24859158</v>
      </c>
      <c r="F130">
        <v>1</v>
      </c>
      <c r="G130">
        <v>24859158</v>
      </c>
      <c r="H130">
        <v>1</v>
      </c>
      <c r="I130" t="s">
        <v>263</v>
      </c>
      <c r="J130" t="s">
        <v>3</v>
      </c>
      <c r="K130" t="s">
        <v>264</v>
      </c>
      <c r="L130">
        <v>1191</v>
      </c>
      <c r="N130">
        <v>1013</v>
      </c>
      <c r="O130" t="s">
        <v>265</v>
      </c>
      <c r="P130" t="s">
        <v>265</v>
      </c>
      <c r="Q130">
        <v>1</v>
      </c>
      <c r="W130">
        <v>0</v>
      </c>
      <c r="X130">
        <v>476480486</v>
      </c>
      <c r="Y130">
        <v>5.25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1</v>
      </c>
      <c r="AJ130">
        <v>1</v>
      </c>
      <c r="AK130">
        <v>1</v>
      </c>
      <c r="AL130">
        <v>1</v>
      </c>
      <c r="AN130">
        <v>0</v>
      </c>
      <c r="AO130">
        <v>1</v>
      </c>
      <c r="AP130">
        <v>0</v>
      </c>
      <c r="AQ130">
        <v>0</v>
      </c>
      <c r="AR130">
        <v>0</v>
      </c>
      <c r="AS130" t="s">
        <v>3</v>
      </c>
      <c r="AT130">
        <v>5.25</v>
      </c>
      <c r="AU130" t="s">
        <v>3</v>
      </c>
      <c r="AV130">
        <v>1</v>
      </c>
      <c r="AW130">
        <v>2</v>
      </c>
      <c r="AX130">
        <v>45748565</v>
      </c>
      <c r="AY130">
        <v>1</v>
      </c>
      <c r="AZ130">
        <v>0</v>
      </c>
      <c r="BA130">
        <v>130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CX130">
        <f>Y130*Source!I169</f>
        <v>10.08</v>
      </c>
      <c r="CY130">
        <f>AD130</f>
        <v>0</v>
      </c>
      <c r="CZ130">
        <f>AH130</f>
        <v>0</v>
      </c>
      <c r="DA130">
        <f>AL130</f>
        <v>1</v>
      </c>
      <c r="DB130">
        <f t="shared" si="11"/>
        <v>0</v>
      </c>
      <c r="DC130">
        <f t="shared" si="12"/>
        <v>0</v>
      </c>
    </row>
    <row r="131" spans="1:107" x14ac:dyDescent="0.2">
      <c r="A131">
        <f>ROW(Source!A169)</f>
        <v>169</v>
      </c>
      <c r="B131">
        <v>45747932</v>
      </c>
      <c r="C131">
        <v>45748561</v>
      </c>
      <c r="D131">
        <v>24907493</v>
      </c>
      <c r="E131">
        <v>1</v>
      </c>
      <c r="F131">
        <v>1</v>
      </c>
      <c r="G131">
        <v>24859158</v>
      </c>
      <c r="H131">
        <v>3</v>
      </c>
      <c r="I131" t="s">
        <v>300</v>
      </c>
      <c r="J131" t="s">
        <v>301</v>
      </c>
      <c r="K131" t="s">
        <v>302</v>
      </c>
      <c r="L131">
        <v>1339</v>
      </c>
      <c r="N131">
        <v>1007</v>
      </c>
      <c r="O131" t="s">
        <v>150</v>
      </c>
      <c r="P131" t="s">
        <v>150</v>
      </c>
      <c r="Q131">
        <v>1</v>
      </c>
      <c r="W131">
        <v>0</v>
      </c>
      <c r="X131">
        <v>-862991314</v>
      </c>
      <c r="Y131">
        <v>10</v>
      </c>
      <c r="AA131">
        <v>35.28</v>
      </c>
      <c r="AB131">
        <v>0</v>
      </c>
      <c r="AC131">
        <v>0</v>
      </c>
      <c r="AD131">
        <v>0</v>
      </c>
      <c r="AE131">
        <v>7.07</v>
      </c>
      <c r="AF131">
        <v>0</v>
      </c>
      <c r="AG131">
        <v>0</v>
      </c>
      <c r="AH131">
        <v>0</v>
      </c>
      <c r="AI131">
        <v>4.99</v>
      </c>
      <c r="AJ131">
        <v>1</v>
      </c>
      <c r="AK131">
        <v>1</v>
      </c>
      <c r="AL131">
        <v>1</v>
      </c>
      <c r="AN131">
        <v>0</v>
      </c>
      <c r="AO131">
        <v>1</v>
      </c>
      <c r="AP131">
        <v>0</v>
      </c>
      <c r="AQ131">
        <v>0</v>
      </c>
      <c r="AR131">
        <v>0</v>
      </c>
      <c r="AS131" t="s">
        <v>3</v>
      </c>
      <c r="AT131">
        <v>10</v>
      </c>
      <c r="AU131" t="s">
        <v>3</v>
      </c>
      <c r="AV131">
        <v>0</v>
      </c>
      <c r="AW131">
        <v>2</v>
      </c>
      <c r="AX131">
        <v>45748566</v>
      </c>
      <c r="AY131">
        <v>1</v>
      </c>
      <c r="AZ131">
        <v>0</v>
      </c>
      <c r="BA131">
        <v>131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CX131">
        <f>Y131*Source!I169</f>
        <v>19.2</v>
      </c>
      <c r="CY131">
        <f>AA131</f>
        <v>35.28</v>
      </c>
      <c r="CZ131">
        <f>AE131</f>
        <v>7.07</v>
      </c>
      <c r="DA131">
        <f>AI131</f>
        <v>4.99</v>
      </c>
      <c r="DB131">
        <f t="shared" si="11"/>
        <v>70.7</v>
      </c>
      <c r="DC131">
        <f t="shared" si="12"/>
        <v>0</v>
      </c>
    </row>
    <row r="132" spans="1:107" x14ac:dyDescent="0.2">
      <c r="A132">
        <f>ROW(Source!A169)</f>
        <v>169</v>
      </c>
      <c r="B132">
        <v>45747932</v>
      </c>
      <c r="C132">
        <v>45748561</v>
      </c>
      <c r="D132">
        <v>24926545</v>
      </c>
      <c r="E132">
        <v>1</v>
      </c>
      <c r="F132">
        <v>1</v>
      </c>
      <c r="G132">
        <v>24859158</v>
      </c>
      <c r="H132">
        <v>3</v>
      </c>
      <c r="I132" t="s">
        <v>247</v>
      </c>
      <c r="J132" t="s">
        <v>250</v>
      </c>
      <c r="K132" t="s">
        <v>248</v>
      </c>
      <c r="L132">
        <v>1346</v>
      </c>
      <c r="N132">
        <v>1009</v>
      </c>
      <c r="O132" t="s">
        <v>249</v>
      </c>
      <c r="P132" t="s">
        <v>249</v>
      </c>
      <c r="Q132">
        <v>1</v>
      </c>
      <c r="W132">
        <v>0</v>
      </c>
      <c r="X132">
        <v>735025367</v>
      </c>
      <c r="Y132">
        <v>4</v>
      </c>
      <c r="AA132">
        <v>106.59</v>
      </c>
      <c r="AB132">
        <v>0</v>
      </c>
      <c r="AC132">
        <v>0</v>
      </c>
      <c r="AD132">
        <v>0</v>
      </c>
      <c r="AE132">
        <v>57.93</v>
      </c>
      <c r="AF132">
        <v>0</v>
      </c>
      <c r="AG132">
        <v>0</v>
      </c>
      <c r="AH132">
        <v>0</v>
      </c>
      <c r="AI132">
        <v>1.84</v>
      </c>
      <c r="AJ132">
        <v>1</v>
      </c>
      <c r="AK132">
        <v>1</v>
      </c>
      <c r="AL132">
        <v>1</v>
      </c>
      <c r="AN132">
        <v>0</v>
      </c>
      <c r="AO132">
        <v>0</v>
      </c>
      <c r="AP132">
        <v>0</v>
      </c>
      <c r="AQ132">
        <v>0</v>
      </c>
      <c r="AR132">
        <v>0</v>
      </c>
      <c r="AS132" t="s">
        <v>3</v>
      </c>
      <c r="AT132">
        <v>4</v>
      </c>
      <c r="AU132" t="s">
        <v>3</v>
      </c>
      <c r="AV132">
        <v>0</v>
      </c>
      <c r="AW132">
        <v>1</v>
      </c>
      <c r="AX132">
        <v>-1</v>
      </c>
      <c r="AY132">
        <v>0</v>
      </c>
      <c r="AZ132">
        <v>0</v>
      </c>
      <c r="BA132" t="s">
        <v>3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CX132">
        <f>Y132*Source!I169</f>
        <v>7.68</v>
      </c>
      <c r="CY132">
        <f>AA132</f>
        <v>106.59</v>
      </c>
      <c r="CZ132">
        <f>AE132</f>
        <v>57.93</v>
      </c>
      <c r="DA132">
        <f>AI132</f>
        <v>1.84</v>
      </c>
      <c r="DB132">
        <f t="shared" si="11"/>
        <v>231.72</v>
      </c>
      <c r="DC132">
        <f t="shared" si="12"/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R13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ROW(Source!A30)</f>
        <v>30</v>
      </c>
      <c r="B1">
        <v>45748212</v>
      </c>
      <c r="C1">
        <v>45748189</v>
      </c>
      <c r="D1">
        <v>24859163</v>
      </c>
      <c r="E1">
        <v>24859158</v>
      </c>
      <c r="F1">
        <v>1</v>
      </c>
      <c r="G1">
        <v>24859158</v>
      </c>
      <c r="H1">
        <v>1</v>
      </c>
      <c r="I1" t="s">
        <v>263</v>
      </c>
      <c r="J1" t="s">
        <v>3</v>
      </c>
      <c r="K1" t="s">
        <v>264</v>
      </c>
      <c r="L1">
        <v>1191</v>
      </c>
      <c r="N1">
        <v>1013</v>
      </c>
      <c r="O1" t="s">
        <v>265</v>
      </c>
      <c r="P1" t="s">
        <v>265</v>
      </c>
      <c r="Q1">
        <v>1</v>
      </c>
      <c r="X1">
        <v>155</v>
      </c>
      <c r="Y1">
        <v>0</v>
      </c>
      <c r="Z1">
        <v>0</v>
      </c>
      <c r="AA1">
        <v>0</v>
      </c>
      <c r="AB1">
        <v>0</v>
      </c>
      <c r="AC1">
        <v>0</v>
      </c>
      <c r="AD1">
        <v>1</v>
      </c>
      <c r="AE1">
        <v>1</v>
      </c>
      <c r="AF1" t="s">
        <v>3</v>
      </c>
      <c r="AG1">
        <v>155</v>
      </c>
      <c r="AH1">
        <v>2</v>
      </c>
      <c r="AI1">
        <v>45748212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ROW(Source!A30)</f>
        <v>30</v>
      </c>
      <c r="B2">
        <v>45748213</v>
      </c>
      <c r="C2">
        <v>45748189</v>
      </c>
      <c r="D2">
        <v>24932005</v>
      </c>
      <c r="E2">
        <v>1</v>
      </c>
      <c r="F2">
        <v>1</v>
      </c>
      <c r="G2">
        <v>24859158</v>
      </c>
      <c r="H2">
        <v>2</v>
      </c>
      <c r="I2" t="s">
        <v>266</v>
      </c>
      <c r="J2" t="s">
        <v>267</v>
      </c>
      <c r="K2" t="s">
        <v>268</v>
      </c>
      <c r="L2">
        <v>1367</v>
      </c>
      <c r="N2">
        <v>1011</v>
      </c>
      <c r="O2" t="s">
        <v>269</v>
      </c>
      <c r="P2" t="s">
        <v>269</v>
      </c>
      <c r="Q2">
        <v>1</v>
      </c>
      <c r="X2">
        <v>37.5</v>
      </c>
      <c r="Y2">
        <v>0</v>
      </c>
      <c r="Z2">
        <v>60.77</v>
      </c>
      <c r="AA2">
        <v>18.48</v>
      </c>
      <c r="AB2">
        <v>0</v>
      </c>
      <c r="AC2">
        <v>0</v>
      </c>
      <c r="AD2">
        <v>1</v>
      </c>
      <c r="AE2">
        <v>0</v>
      </c>
      <c r="AF2" t="s">
        <v>3</v>
      </c>
      <c r="AG2">
        <v>37.5</v>
      </c>
      <c r="AH2">
        <v>2</v>
      </c>
      <c r="AI2">
        <v>45748213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">
      <c r="A3">
        <f>ROW(Source!A30)</f>
        <v>30</v>
      </c>
      <c r="B3">
        <v>45748214</v>
      </c>
      <c r="C3">
        <v>45748189</v>
      </c>
      <c r="D3">
        <v>24932464</v>
      </c>
      <c r="E3">
        <v>1</v>
      </c>
      <c r="F3">
        <v>1</v>
      </c>
      <c r="G3">
        <v>24859158</v>
      </c>
      <c r="H3">
        <v>2</v>
      </c>
      <c r="I3" t="s">
        <v>270</v>
      </c>
      <c r="J3" t="s">
        <v>271</v>
      </c>
      <c r="K3" t="s">
        <v>272</v>
      </c>
      <c r="L3">
        <v>1367</v>
      </c>
      <c r="N3">
        <v>1011</v>
      </c>
      <c r="O3" t="s">
        <v>269</v>
      </c>
      <c r="P3" t="s">
        <v>269</v>
      </c>
      <c r="Q3">
        <v>1</v>
      </c>
      <c r="X3">
        <v>75</v>
      </c>
      <c r="Y3">
        <v>0</v>
      </c>
      <c r="Z3">
        <v>3.16</v>
      </c>
      <c r="AA3">
        <v>0.04</v>
      </c>
      <c r="AB3">
        <v>0</v>
      </c>
      <c r="AC3">
        <v>0</v>
      </c>
      <c r="AD3">
        <v>1</v>
      </c>
      <c r="AE3">
        <v>0</v>
      </c>
      <c r="AF3" t="s">
        <v>3</v>
      </c>
      <c r="AG3">
        <v>75</v>
      </c>
      <c r="AH3">
        <v>2</v>
      </c>
      <c r="AI3">
        <v>45748214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">
      <c r="A4">
        <f>ROW(Source!A30)</f>
        <v>30</v>
      </c>
      <c r="B4">
        <v>45748215</v>
      </c>
      <c r="C4">
        <v>45748189</v>
      </c>
      <c r="D4">
        <v>24931840</v>
      </c>
      <c r="E4">
        <v>1</v>
      </c>
      <c r="F4">
        <v>1</v>
      </c>
      <c r="G4">
        <v>24859158</v>
      </c>
      <c r="H4">
        <v>2</v>
      </c>
      <c r="I4" t="s">
        <v>273</v>
      </c>
      <c r="J4" t="s">
        <v>274</v>
      </c>
      <c r="K4" t="s">
        <v>275</v>
      </c>
      <c r="L4">
        <v>1367</v>
      </c>
      <c r="N4">
        <v>1011</v>
      </c>
      <c r="O4" t="s">
        <v>269</v>
      </c>
      <c r="P4" t="s">
        <v>269</v>
      </c>
      <c r="Q4">
        <v>1</v>
      </c>
      <c r="X4">
        <v>1.55</v>
      </c>
      <c r="Y4">
        <v>0</v>
      </c>
      <c r="Z4">
        <v>125.13</v>
      </c>
      <c r="AA4">
        <v>24.74</v>
      </c>
      <c r="AB4">
        <v>0</v>
      </c>
      <c r="AC4">
        <v>0</v>
      </c>
      <c r="AD4">
        <v>1</v>
      </c>
      <c r="AE4">
        <v>0</v>
      </c>
      <c r="AF4" t="s">
        <v>3</v>
      </c>
      <c r="AG4">
        <v>1.55</v>
      </c>
      <c r="AH4">
        <v>2</v>
      </c>
      <c r="AI4">
        <v>45748215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">
      <c r="A5">
        <f>ROW(Source!A30)</f>
        <v>30</v>
      </c>
      <c r="B5">
        <v>45748216</v>
      </c>
      <c r="C5">
        <v>45748189</v>
      </c>
      <c r="D5">
        <v>24859885</v>
      </c>
      <c r="E5">
        <v>24859158</v>
      </c>
      <c r="F5">
        <v>1</v>
      </c>
      <c r="G5">
        <v>24859158</v>
      </c>
      <c r="H5">
        <v>2</v>
      </c>
      <c r="I5" t="s">
        <v>276</v>
      </c>
      <c r="J5" t="s">
        <v>3</v>
      </c>
      <c r="K5" t="s">
        <v>277</v>
      </c>
      <c r="L5">
        <v>1344</v>
      </c>
      <c r="N5">
        <v>1008</v>
      </c>
      <c r="O5" t="s">
        <v>278</v>
      </c>
      <c r="P5" t="s">
        <v>278</v>
      </c>
      <c r="Q5">
        <v>1</v>
      </c>
      <c r="X5">
        <v>3.72</v>
      </c>
      <c r="Y5">
        <v>0</v>
      </c>
      <c r="Z5">
        <v>1</v>
      </c>
      <c r="AA5">
        <v>0</v>
      </c>
      <c r="AB5">
        <v>0</v>
      </c>
      <c r="AC5">
        <v>0</v>
      </c>
      <c r="AD5">
        <v>1</v>
      </c>
      <c r="AE5">
        <v>0</v>
      </c>
      <c r="AF5" t="s">
        <v>3</v>
      </c>
      <c r="AG5">
        <v>3.72</v>
      </c>
      <c r="AH5">
        <v>2</v>
      </c>
      <c r="AI5">
        <v>45748216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x14ac:dyDescent="0.2">
      <c r="A6">
        <f>ROW(Source!A31)</f>
        <v>31</v>
      </c>
      <c r="B6">
        <v>45748212</v>
      </c>
      <c r="C6">
        <v>45748189</v>
      </c>
      <c r="D6">
        <v>24859163</v>
      </c>
      <c r="E6">
        <v>24859158</v>
      </c>
      <c r="F6">
        <v>1</v>
      </c>
      <c r="G6">
        <v>24859158</v>
      </c>
      <c r="H6">
        <v>1</v>
      </c>
      <c r="I6" t="s">
        <v>263</v>
      </c>
      <c r="J6" t="s">
        <v>3</v>
      </c>
      <c r="K6" t="s">
        <v>264</v>
      </c>
      <c r="L6">
        <v>1191</v>
      </c>
      <c r="N6">
        <v>1013</v>
      </c>
      <c r="O6" t="s">
        <v>265</v>
      </c>
      <c r="P6" t="s">
        <v>265</v>
      </c>
      <c r="Q6">
        <v>1</v>
      </c>
      <c r="X6">
        <v>155</v>
      </c>
      <c r="Y6">
        <v>0</v>
      </c>
      <c r="Z6">
        <v>0</v>
      </c>
      <c r="AA6">
        <v>0</v>
      </c>
      <c r="AB6">
        <v>0</v>
      </c>
      <c r="AC6">
        <v>0</v>
      </c>
      <c r="AD6">
        <v>1</v>
      </c>
      <c r="AE6">
        <v>1</v>
      </c>
      <c r="AF6" t="s">
        <v>3</v>
      </c>
      <c r="AG6">
        <v>155</v>
      </c>
      <c r="AH6">
        <v>2</v>
      </c>
      <c r="AI6">
        <v>45748212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2">
      <c r="A7">
        <f>ROW(Source!A31)</f>
        <v>31</v>
      </c>
      <c r="B7">
        <v>45748213</v>
      </c>
      <c r="C7">
        <v>45748189</v>
      </c>
      <c r="D7">
        <v>24932005</v>
      </c>
      <c r="E7">
        <v>1</v>
      </c>
      <c r="F7">
        <v>1</v>
      </c>
      <c r="G7">
        <v>24859158</v>
      </c>
      <c r="H7">
        <v>2</v>
      </c>
      <c r="I7" t="s">
        <v>266</v>
      </c>
      <c r="J7" t="s">
        <v>267</v>
      </c>
      <c r="K7" t="s">
        <v>268</v>
      </c>
      <c r="L7">
        <v>1367</v>
      </c>
      <c r="N7">
        <v>1011</v>
      </c>
      <c r="O7" t="s">
        <v>269</v>
      </c>
      <c r="P7" t="s">
        <v>269</v>
      </c>
      <c r="Q7">
        <v>1</v>
      </c>
      <c r="X7">
        <v>37.5</v>
      </c>
      <c r="Y7">
        <v>0</v>
      </c>
      <c r="Z7">
        <v>60.77</v>
      </c>
      <c r="AA7">
        <v>18.48</v>
      </c>
      <c r="AB7">
        <v>0</v>
      </c>
      <c r="AC7">
        <v>0</v>
      </c>
      <c r="AD7">
        <v>1</v>
      </c>
      <c r="AE7">
        <v>0</v>
      </c>
      <c r="AF7" t="s">
        <v>3</v>
      </c>
      <c r="AG7">
        <v>37.5</v>
      </c>
      <c r="AH7">
        <v>2</v>
      </c>
      <c r="AI7">
        <v>45748213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x14ac:dyDescent="0.2">
      <c r="A8">
        <f>ROW(Source!A31)</f>
        <v>31</v>
      </c>
      <c r="B8">
        <v>45748214</v>
      </c>
      <c r="C8">
        <v>45748189</v>
      </c>
      <c r="D8">
        <v>24932464</v>
      </c>
      <c r="E8">
        <v>1</v>
      </c>
      <c r="F8">
        <v>1</v>
      </c>
      <c r="G8">
        <v>24859158</v>
      </c>
      <c r="H8">
        <v>2</v>
      </c>
      <c r="I8" t="s">
        <v>270</v>
      </c>
      <c r="J8" t="s">
        <v>271</v>
      </c>
      <c r="K8" t="s">
        <v>272</v>
      </c>
      <c r="L8">
        <v>1367</v>
      </c>
      <c r="N8">
        <v>1011</v>
      </c>
      <c r="O8" t="s">
        <v>269</v>
      </c>
      <c r="P8" t="s">
        <v>269</v>
      </c>
      <c r="Q8">
        <v>1</v>
      </c>
      <c r="X8">
        <v>75</v>
      </c>
      <c r="Y8">
        <v>0</v>
      </c>
      <c r="Z8">
        <v>3.16</v>
      </c>
      <c r="AA8">
        <v>0.04</v>
      </c>
      <c r="AB8">
        <v>0</v>
      </c>
      <c r="AC8">
        <v>0</v>
      </c>
      <c r="AD8">
        <v>1</v>
      </c>
      <c r="AE8">
        <v>0</v>
      </c>
      <c r="AF8" t="s">
        <v>3</v>
      </c>
      <c r="AG8">
        <v>75</v>
      </c>
      <c r="AH8">
        <v>2</v>
      </c>
      <c r="AI8">
        <v>45748214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2">
      <c r="A9">
        <f>ROW(Source!A31)</f>
        <v>31</v>
      </c>
      <c r="B9">
        <v>45748215</v>
      </c>
      <c r="C9">
        <v>45748189</v>
      </c>
      <c r="D9">
        <v>24931840</v>
      </c>
      <c r="E9">
        <v>1</v>
      </c>
      <c r="F9">
        <v>1</v>
      </c>
      <c r="G9">
        <v>24859158</v>
      </c>
      <c r="H9">
        <v>2</v>
      </c>
      <c r="I9" t="s">
        <v>273</v>
      </c>
      <c r="J9" t="s">
        <v>274</v>
      </c>
      <c r="K9" t="s">
        <v>275</v>
      </c>
      <c r="L9">
        <v>1367</v>
      </c>
      <c r="N9">
        <v>1011</v>
      </c>
      <c r="O9" t="s">
        <v>269</v>
      </c>
      <c r="P9" t="s">
        <v>269</v>
      </c>
      <c r="Q9">
        <v>1</v>
      </c>
      <c r="X9">
        <v>1.55</v>
      </c>
      <c r="Y9">
        <v>0</v>
      </c>
      <c r="Z9">
        <v>125.13</v>
      </c>
      <c r="AA9">
        <v>24.74</v>
      </c>
      <c r="AB9">
        <v>0</v>
      </c>
      <c r="AC9">
        <v>0</v>
      </c>
      <c r="AD9">
        <v>1</v>
      </c>
      <c r="AE9">
        <v>0</v>
      </c>
      <c r="AF9" t="s">
        <v>3</v>
      </c>
      <c r="AG9">
        <v>1.55</v>
      </c>
      <c r="AH9">
        <v>2</v>
      </c>
      <c r="AI9">
        <v>45748215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x14ac:dyDescent="0.2">
      <c r="A10">
        <f>ROW(Source!A31)</f>
        <v>31</v>
      </c>
      <c r="B10">
        <v>45748216</v>
      </c>
      <c r="C10">
        <v>45748189</v>
      </c>
      <c r="D10">
        <v>24859885</v>
      </c>
      <c r="E10">
        <v>24859158</v>
      </c>
      <c r="F10">
        <v>1</v>
      </c>
      <c r="G10">
        <v>24859158</v>
      </c>
      <c r="H10">
        <v>2</v>
      </c>
      <c r="I10" t="s">
        <v>276</v>
      </c>
      <c r="J10" t="s">
        <v>3</v>
      </c>
      <c r="K10" t="s">
        <v>277</v>
      </c>
      <c r="L10">
        <v>1344</v>
      </c>
      <c r="N10">
        <v>1008</v>
      </c>
      <c r="O10" t="s">
        <v>278</v>
      </c>
      <c r="P10" t="s">
        <v>278</v>
      </c>
      <c r="Q10">
        <v>1</v>
      </c>
      <c r="X10">
        <v>3.72</v>
      </c>
      <c r="Y10">
        <v>0</v>
      </c>
      <c r="Z10">
        <v>1</v>
      </c>
      <c r="AA10">
        <v>0</v>
      </c>
      <c r="AB10">
        <v>0</v>
      </c>
      <c r="AC10">
        <v>0</v>
      </c>
      <c r="AD10">
        <v>1</v>
      </c>
      <c r="AE10">
        <v>0</v>
      </c>
      <c r="AF10" t="s">
        <v>3</v>
      </c>
      <c r="AG10">
        <v>3.72</v>
      </c>
      <c r="AH10">
        <v>2</v>
      </c>
      <c r="AI10">
        <v>45748216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x14ac:dyDescent="0.2">
      <c r="A11">
        <f>ROW(Source!A32)</f>
        <v>32</v>
      </c>
      <c r="B11">
        <v>45748217</v>
      </c>
      <c r="C11">
        <v>45748200</v>
      </c>
      <c r="D11">
        <v>24859885</v>
      </c>
      <c r="E11">
        <v>24859158</v>
      </c>
      <c r="F11">
        <v>1</v>
      </c>
      <c r="G11">
        <v>24859158</v>
      </c>
      <c r="H11">
        <v>2</v>
      </c>
      <c r="I11" t="s">
        <v>276</v>
      </c>
      <c r="J11" t="s">
        <v>3</v>
      </c>
      <c r="K11" t="s">
        <v>277</v>
      </c>
      <c r="L11">
        <v>1344</v>
      </c>
      <c r="N11">
        <v>1008</v>
      </c>
      <c r="O11" t="s">
        <v>278</v>
      </c>
      <c r="P11" t="s">
        <v>278</v>
      </c>
      <c r="Q11">
        <v>1</v>
      </c>
      <c r="X11">
        <v>8.86</v>
      </c>
      <c r="Y11">
        <v>0</v>
      </c>
      <c r="Z11">
        <v>1</v>
      </c>
      <c r="AA11">
        <v>0</v>
      </c>
      <c r="AB11">
        <v>0</v>
      </c>
      <c r="AC11">
        <v>0</v>
      </c>
      <c r="AD11">
        <v>1</v>
      </c>
      <c r="AE11">
        <v>0</v>
      </c>
      <c r="AF11" t="s">
        <v>3</v>
      </c>
      <c r="AG11">
        <v>8.86</v>
      </c>
      <c r="AH11">
        <v>2</v>
      </c>
      <c r="AI11">
        <v>45748217</v>
      </c>
      <c r="AJ11">
        <v>11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x14ac:dyDescent="0.2">
      <c r="A12">
        <f>ROW(Source!A33)</f>
        <v>33</v>
      </c>
      <c r="B12">
        <v>45748217</v>
      </c>
      <c r="C12">
        <v>45748200</v>
      </c>
      <c r="D12">
        <v>24859885</v>
      </c>
      <c r="E12">
        <v>24859158</v>
      </c>
      <c r="F12">
        <v>1</v>
      </c>
      <c r="G12">
        <v>24859158</v>
      </c>
      <c r="H12">
        <v>2</v>
      </c>
      <c r="I12" t="s">
        <v>276</v>
      </c>
      <c r="J12" t="s">
        <v>3</v>
      </c>
      <c r="K12" t="s">
        <v>277</v>
      </c>
      <c r="L12">
        <v>1344</v>
      </c>
      <c r="N12">
        <v>1008</v>
      </c>
      <c r="O12" t="s">
        <v>278</v>
      </c>
      <c r="P12" t="s">
        <v>278</v>
      </c>
      <c r="Q12">
        <v>1</v>
      </c>
      <c r="X12">
        <v>8.86</v>
      </c>
      <c r="Y12">
        <v>0</v>
      </c>
      <c r="Z12">
        <v>1</v>
      </c>
      <c r="AA12">
        <v>0</v>
      </c>
      <c r="AB12">
        <v>0</v>
      </c>
      <c r="AC12">
        <v>0</v>
      </c>
      <c r="AD12">
        <v>1</v>
      </c>
      <c r="AE12">
        <v>0</v>
      </c>
      <c r="AF12" t="s">
        <v>3</v>
      </c>
      <c r="AG12">
        <v>8.86</v>
      </c>
      <c r="AH12">
        <v>2</v>
      </c>
      <c r="AI12">
        <v>45748217</v>
      </c>
      <c r="AJ12">
        <v>12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x14ac:dyDescent="0.2">
      <c r="A13">
        <f>ROW(Source!A34)</f>
        <v>34</v>
      </c>
      <c r="B13">
        <v>45748218</v>
      </c>
      <c r="C13">
        <v>45748203</v>
      </c>
      <c r="D13">
        <v>24859163</v>
      </c>
      <c r="E13">
        <v>24859158</v>
      </c>
      <c r="F13">
        <v>1</v>
      </c>
      <c r="G13">
        <v>24859158</v>
      </c>
      <c r="H13">
        <v>1</v>
      </c>
      <c r="I13" t="s">
        <v>263</v>
      </c>
      <c r="J13" t="s">
        <v>3</v>
      </c>
      <c r="K13" t="s">
        <v>264</v>
      </c>
      <c r="L13">
        <v>1191</v>
      </c>
      <c r="N13">
        <v>1013</v>
      </c>
      <c r="O13" t="s">
        <v>265</v>
      </c>
      <c r="P13" t="s">
        <v>265</v>
      </c>
      <c r="Q13">
        <v>1</v>
      </c>
      <c r="X13">
        <v>1.02</v>
      </c>
      <c r="Y13">
        <v>0</v>
      </c>
      <c r="Z13">
        <v>0</v>
      </c>
      <c r="AA13">
        <v>0</v>
      </c>
      <c r="AB13">
        <v>0</v>
      </c>
      <c r="AC13">
        <v>0</v>
      </c>
      <c r="AD13">
        <v>1</v>
      </c>
      <c r="AE13">
        <v>1</v>
      </c>
      <c r="AF13" t="s">
        <v>3</v>
      </c>
      <c r="AG13">
        <v>1.02</v>
      </c>
      <c r="AH13">
        <v>2</v>
      </c>
      <c r="AI13">
        <v>45748218</v>
      </c>
      <c r="AJ13">
        <v>13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x14ac:dyDescent="0.2">
      <c r="A14">
        <f>ROW(Source!A35)</f>
        <v>35</v>
      </c>
      <c r="B14">
        <v>45748218</v>
      </c>
      <c r="C14">
        <v>45748203</v>
      </c>
      <c r="D14">
        <v>24859163</v>
      </c>
      <c r="E14">
        <v>24859158</v>
      </c>
      <c r="F14">
        <v>1</v>
      </c>
      <c r="G14">
        <v>24859158</v>
      </c>
      <c r="H14">
        <v>1</v>
      </c>
      <c r="I14" t="s">
        <v>263</v>
      </c>
      <c r="J14" t="s">
        <v>3</v>
      </c>
      <c r="K14" t="s">
        <v>264</v>
      </c>
      <c r="L14">
        <v>1191</v>
      </c>
      <c r="N14">
        <v>1013</v>
      </c>
      <c r="O14" t="s">
        <v>265</v>
      </c>
      <c r="P14" t="s">
        <v>265</v>
      </c>
      <c r="Q14">
        <v>1</v>
      </c>
      <c r="X14">
        <v>1.02</v>
      </c>
      <c r="Y14">
        <v>0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1</v>
      </c>
      <c r="AF14" t="s">
        <v>3</v>
      </c>
      <c r="AG14">
        <v>1.02</v>
      </c>
      <c r="AH14">
        <v>2</v>
      </c>
      <c r="AI14">
        <v>45748218</v>
      </c>
      <c r="AJ14">
        <v>14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x14ac:dyDescent="0.2">
      <c r="A15">
        <f>ROW(Source!A36)</f>
        <v>36</v>
      </c>
      <c r="B15">
        <v>45748224</v>
      </c>
      <c r="C15">
        <v>45748206</v>
      </c>
      <c r="D15">
        <v>26556675</v>
      </c>
      <c r="E15">
        <v>1</v>
      </c>
      <c r="F15">
        <v>1</v>
      </c>
      <c r="G15">
        <v>24859158</v>
      </c>
      <c r="H15">
        <v>2</v>
      </c>
      <c r="I15" t="s">
        <v>279</v>
      </c>
      <c r="J15" t="s">
        <v>280</v>
      </c>
      <c r="K15" t="s">
        <v>281</v>
      </c>
      <c r="L15">
        <v>1367</v>
      </c>
      <c r="N15">
        <v>1011</v>
      </c>
      <c r="O15" t="s">
        <v>269</v>
      </c>
      <c r="P15" t="s">
        <v>269</v>
      </c>
      <c r="Q15">
        <v>1</v>
      </c>
      <c r="X15">
        <v>1</v>
      </c>
      <c r="Y15">
        <v>0</v>
      </c>
      <c r="Z15">
        <v>193.32</v>
      </c>
      <c r="AA15">
        <v>18.11</v>
      </c>
      <c r="AB15">
        <v>0</v>
      </c>
      <c r="AC15">
        <v>0</v>
      </c>
      <c r="AD15">
        <v>1</v>
      </c>
      <c r="AE15">
        <v>0</v>
      </c>
      <c r="AF15" t="s">
        <v>3</v>
      </c>
      <c r="AG15">
        <v>1</v>
      </c>
      <c r="AH15">
        <v>2</v>
      </c>
      <c r="AI15">
        <v>45748224</v>
      </c>
      <c r="AJ15">
        <v>15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x14ac:dyDescent="0.2">
      <c r="A16">
        <f>ROW(Source!A37)</f>
        <v>37</v>
      </c>
      <c r="B16">
        <v>45748224</v>
      </c>
      <c r="C16">
        <v>45748206</v>
      </c>
      <c r="D16">
        <v>26556675</v>
      </c>
      <c r="E16">
        <v>1</v>
      </c>
      <c r="F16">
        <v>1</v>
      </c>
      <c r="G16">
        <v>24859158</v>
      </c>
      <c r="H16">
        <v>2</v>
      </c>
      <c r="I16" t="s">
        <v>279</v>
      </c>
      <c r="J16" t="s">
        <v>280</v>
      </c>
      <c r="K16" t="s">
        <v>281</v>
      </c>
      <c r="L16">
        <v>1367</v>
      </c>
      <c r="N16">
        <v>1011</v>
      </c>
      <c r="O16" t="s">
        <v>269</v>
      </c>
      <c r="P16" t="s">
        <v>269</v>
      </c>
      <c r="Q16">
        <v>1</v>
      </c>
      <c r="X16">
        <v>1</v>
      </c>
      <c r="Y16">
        <v>0</v>
      </c>
      <c r="Z16">
        <v>193.32</v>
      </c>
      <c r="AA16">
        <v>18.11</v>
      </c>
      <c r="AB16">
        <v>0</v>
      </c>
      <c r="AC16">
        <v>0</v>
      </c>
      <c r="AD16">
        <v>1</v>
      </c>
      <c r="AE16">
        <v>0</v>
      </c>
      <c r="AF16" t="s">
        <v>3</v>
      </c>
      <c r="AG16">
        <v>1</v>
      </c>
      <c r="AH16">
        <v>2</v>
      </c>
      <c r="AI16">
        <v>45748224</v>
      </c>
      <c r="AJ16">
        <v>16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x14ac:dyDescent="0.2">
      <c r="A17">
        <f>ROW(Source!A38)</f>
        <v>38</v>
      </c>
      <c r="B17">
        <v>45748220</v>
      </c>
      <c r="C17">
        <v>45748209</v>
      </c>
      <c r="D17">
        <v>24859885</v>
      </c>
      <c r="E17">
        <v>24859158</v>
      </c>
      <c r="F17">
        <v>1</v>
      </c>
      <c r="G17">
        <v>24859158</v>
      </c>
      <c r="H17">
        <v>2</v>
      </c>
      <c r="I17" t="s">
        <v>276</v>
      </c>
      <c r="J17" t="s">
        <v>3</v>
      </c>
      <c r="K17" t="s">
        <v>277</v>
      </c>
      <c r="L17">
        <v>1344</v>
      </c>
      <c r="N17">
        <v>1008</v>
      </c>
      <c r="O17" t="s">
        <v>278</v>
      </c>
      <c r="P17" t="s">
        <v>278</v>
      </c>
      <c r="Q17">
        <v>1</v>
      </c>
      <c r="X17">
        <v>36.590000000000003</v>
      </c>
      <c r="Y17">
        <v>0</v>
      </c>
      <c r="Z17">
        <v>1</v>
      </c>
      <c r="AA17">
        <v>0</v>
      </c>
      <c r="AB17">
        <v>0</v>
      </c>
      <c r="AC17">
        <v>0</v>
      </c>
      <c r="AD17">
        <v>1</v>
      </c>
      <c r="AE17">
        <v>0</v>
      </c>
      <c r="AF17" t="s">
        <v>3</v>
      </c>
      <c r="AG17">
        <v>36.590000000000003</v>
      </c>
      <c r="AH17">
        <v>2</v>
      </c>
      <c r="AI17">
        <v>45748220</v>
      </c>
      <c r="AJ17">
        <v>17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x14ac:dyDescent="0.2">
      <c r="A18">
        <f>ROW(Source!A39)</f>
        <v>39</v>
      </c>
      <c r="B18">
        <v>45748220</v>
      </c>
      <c r="C18">
        <v>45748209</v>
      </c>
      <c r="D18">
        <v>24859885</v>
      </c>
      <c r="E18">
        <v>24859158</v>
      </c>
      <c r="F18">
        <v>1</v>
      </c>
      <c r="G18">
        <v>24859158</v>
      </c>
      <c r="H18">
        <v>2</v>
      </c>
      <c r="I18" t="s">
        <v>276</v>
      </c>
      <c r="J18" t="s">
        <v>3</v>
      </c>
      <c r="K18" t="s">
        <v>277</v>
      </c>
      <c r="L18">
        <v>1344</v>
      </c>
      <c r="N18">
        <v>1008</v>
      </c>
      <c r="O18" t="s">
        <v>278</v>
      </c>
      <c r="P18" t="s">
        <v>278</v>
      </c>
      <c r="Q18">
        <v>1</v>
      </c>
      <c r="X18">
        <v>36.590000000000003</v>
      </c>
      <c r="Y18">
        <v>0</v>
      </c>
      <c r="Z18">
        <v>1</v>
      </c>
      <c r="AA18">
        <v>0</v>
      </c>
      <c r="AB18">
        <v>0</v>
      </c>
      <c r="AC18">
        <v>0</v>
      </c>
      <c r="AD18">
        <v>1</v>
      </c>
      <c r="AE18">
        <v>0</v>
      </c>
      <c r="AF18" t="s">
        <v>3</v>
      </c>
      <c r="AG18">
        <v>36.590000000000003</v>
      </c>
      <c r="AH18">
        <v>2</v>
      </c>
      <c r="AI18">
        <v>45748220</v>
      </c>
      <c r="AJ18">
        <v>18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x14ac:dyDescent="0.2">
      <c r="A19">
        <f>ROW(Source!A40)</f>
        <v>40</v>
      </c>
      <c r="B19">
        <v>45748251</v>
      </c>
      <c r="C19">
        <v>45748246</v>
      </c>
      <c r="D19">
        <v>24859163</v>
      </c>
      <c r="E19">
        <v>24859158</v>
      </c>
      <c r="F19">
        <v>1</v>
      </c>
      <c r="G19">
        <v>24859158</v>
      </c>
      <c r="H19">
        <v>1</v>
      </c>
      <c r="I19" t="s">
        <v>263</v>
      </c>
      <c r="J19" t="s">
        <v>3</v>
      </c>
      <c r="K19" t="s">
        <v>264</v>
      </c>
      <c r="L19">
        <v>1191</v>
      </c>
      <c r="N19">
        <v>1013</v>
      </c>
      <c r="O19" t="s">
        <v>265</v>
      </c>
      <c r="P19" t="s">
        <v>265</v>
      </c>
      <c r="Q19">
        <v>1</v>
      </c>
      <c r="X19">
        <v>8.9600000000000009</v>
      </c>
      <c r="Y19">
        <v>0</v>
      </c>
      <c r="Z19">
        <v>0</v>
      </c>
      <c r="AA19">
        <v>0</v>
      </c>
      <c r="AB19">
        <v>0</v>
      </c>
      <c r="AC19">
        <v>0</v>
      </c>
      <c r="AD19">
        <v>1</v>
      </c>
      <c r="AE19">
        <v>1</v>
      </c>
      <c r="AF19" t="s">
        <v>3</v>
      </c>
      <c r="AG19">
        <v>8.9600000000000009</v>
      </c>
      <c r="AH19">
        <v>2</v>
      </c>
      <c r="AI19">
        <v>45748247</v>
      </c>
      <c r="AJ19">
        <v>19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x14ac:dyDescent="0.2">
      <c r="A20">
        <f>ROW(Source!A40)</f>
        <v>40</v>
      </c>
      <c r="B20">
        <v>45748252</v>
      </c>
      <c r="C20">
        <v>45748246</v>
      </c>
      <c r="D20">
        <v>24931797</v>
      </c>
      <c r="E20">
        <v>1</v>
      </c>
      <c r="F20">
        <v>1</v>
      </c>
      <c r="G20">
        <v>24859158</v>
      </c>
      <c r="H20">
        <v>2</v>
      </c>
      <c r="I20" t="s">
        <v>282</v>
      </c>
      <c r="J20" t="s">
        <v>283</v>
      </c>
      <c r="K20" t="s">
        <v>284</v>
      </c>
      <c r="L20">
        <v>1367</v>
      </c>
      <c r="N20">
        <v>1011</v>
      </c>
      <c r="O20" t="s">
        <v>269</v>
      </c>
      <c r="P20" t="s">
        <v>269</v>
      </c>
      <c r="Q20">
        <v>1</v>
      </c>
      <c r="X20">
        <v>0.71</v>
      </c>
      <c r="Y20">
        <v>0</v>
      </c>
      <c r="Z20">
        <v>169.44</v>
      </c>
      <c r="AA20">
        <v>15.02</v>
      </c>
      <c r="AB20">
        <v>0</v>
      </c>
      <c r="AC20">
        <v>0</v>
      </c>
      <c r="AD20">
        <v>1</v>
      </c>
      <c r="AE20">
        <v>0</v>
      </c>
      <c r="AF20" t="s">
        <v>3</v>
      </c>
      <c r="AG20">
        <v>0.71</v>
      </c>
      <c r="AH20">
        <v>2</v>
      </c>
      <c r="AI20">
        <v>45748248</v>
      </c>
      <c r="AJ20">
        <v>20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x14ac:dyDescent="0.2">
      <c r="A21">
        <f>ROW(Source!A40)</f>
        <v>40</v>
      </c>
      <c r="B21">
        <v>45748253</v>
      </c>
      <c r="C21">
        <v>45748246</v>
      </c>
      <c r="D21">
        <v>24907428</v>
      </c>
      <c r="E21">
        <v>1</v>
      </c>
      <c r="F21">
        <v>1</v>
      </c>
      <c r="G21">
        <v>24859158</v>
      </c>
      <c r="H21">
        <v>3</v>
      </c>
      <c r="I21" t="s">
        <v>285</v>
      </c>
      <c r="J21" t="s">
        <v>286</v>
      </c>
      <c r="K21" t="s">
        <v>287</v>
      </c>
      <c r="L21">
        <v>1348</v>
      </c>
      <c r="N21">
        <v>1009</v>
      </c>
      <c r="O21" t="s">
        <v>44</v>
      </c>
      <c r="P21" t="s">
        <v>44</v>
      </c>
      <c r="Q21">
        <v>1000</v>
      </c>
      <c r="X21">
        <v>0.06</v>
      </c>
      <c r="Y21">
        <v>3501.78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0</v>
      </c>
      <c r="AF21" t="s">
        <v>3</v>
      </c>
      <c r="AG21">
        <v>0.06</v>
      </c>
      <c r="AH21">
        <v>2</v>
      </c>
      <c r="AI21">
        <v>45748249</v>
      </c>
      <c r="AJ21">
        <v>21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x14ac:dyDescent="0.2">
      <c r="A22">
        <f>ROW(Source!A40)</f>
        <v>40</v>
      </c>
      <c r="B22">
        <v>45748254</v>
      </c>
      <c r="C22">
        <v>45748246</v>
      </c>
      <c r="D22">
        <v>24873032</v>
      </c>
      <c r="E22">
        <v>24859158</v>
      </c>
      <c r="F22">
        <v>1</v>
      </c>
      <c r="G22">
        <v>24859158</v>
      </c>
      <c r="H22">
        <v>3</v>
      </c>
      <c r="I22" t="s">
        <v>333</v>
      </c>
      <c r="J22" t="s">
        <v>3</v>
      </c>
      <c r="K22" t="s">
        <v>334</v>
      </c>
      <c r="L22">
        <v>1348</v>
      </c>
      <c r="N22">
        <v>1009</v>
      </c>
      <c r="O22" t="s">
        <v>44</v>
      </c>
      <c r="P22" t="s">
        <v>44</v>
      </c>
      <c r="Q22">
        <v>1000</v>
      </c>
      <c r="X22">
        <v>10.7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 t="s">
        <v>3</v>
      </c>
      <c r="AG22">
        <v>10.7</v>
      </c>
      <c r="AH22">
        <v>3</v>
      </c>
      <c r="AI22">
        <v>-1</v>
      </c>
      <c r="AJ22" t="s">
        <v>3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x14ac:dyDescent="0.2">
      <c r="A23">
        <f>ROW(Source!A41)</f>
        <v>41</v>
      </c>
      <c r="B23">
        <v>45748251</v>
      </c>
      <c r="C23">
        <v>45748246</v>
      </c>
      <c r="D23">
        <v>24859163</v>
      </c>
      <c r="E23">
        <v>24859158</v>
      </c>
      <c r="F23">
        <v>1</v>
      </c>
      <c r="G23">
        <v>24859158</v>
      </c>
      <c r="H23">
        <v>1</v>
      </c>
      <c r="I23" t="s">
        <v>263</v>
      </c>
      <c r="J23" t="s">
        <v>3</v>
      </c>
      <c r="K23" t="s">
        <v>264</v>
      </c>
      <c r="L23">
        <v>1191</v>
      </c>
      <c r="N23">
        <v>1013</v>
      </c>
      <c r="O23" t="s">
        <v>265</v>
      </c>
      <c r="P23" t="s">
        <v>265</v>
      </c>
      <c r="Q23">
        <v>1</v>
      </c>
      <c r="X23">
        <v>8.9600000000000009</v>
      </c>
      <c r="Y23">
        <v>0</v>
      </c>
      <c r="Z23">
        <v>0</v>
      </c>
      <c r="AA23">
        <v>0</v>
      </c>
      <c r="AB23">
        <v>0</v>
      </c>
      <c r="AC23">
        <v>0</v>
      </c>
      <c r="AD23">
        <v>1</v>
      </c>
      <c r="AE23">
        <v>1</v>
      </c>
      <c r="AF23" t="s">
        <v>3</v>
      </c>
      <c r="AG23">
        <v>8.9600000000000009</v>
      </c>
      <c r="AH23">
        <v>2</v>
      </c>
      <c r="AI23">
        <v>45748247</v>
      </c>
      <c r="AJ23">
        <v>23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x14ac:dyDescent="0.2">
      <c r="A24">
        <f>ROW(Source!A41)</f>
        <v>41</v>
      </c>
      <c r="B24">
        <v>45748252</v>
      </c>
      <c r="C24">
        <v>45748246</v>
      </c>
      <c r="D24">
        <v>24931797</v>
      </c>
      <c r="E24">
        <v>1</v>
      </c>
      <c r="F24">
        <v>1</v>
      </c>
      <c r="G24">
        <v>24859158</v>
      </c>
      <c r="H24">
        <v>2</v>
      </c>
      <c r="I24" t="s">
        <v>282</v>
      </c>
      <c r="J24" t="s">
        <v>283</v>
      </c>
      <c r="K24" t="s">
        <v>284</v>
      </c>
      <c r="L24">
        <v>1367</v>
      </c>
      <c r="N24">
        <v>1011</v>
      </c>
      <c r="O24" t="s">
        <v>269</v>
      </c>
      <c r="P24" t="s">
        <v>269</v>
      </c>
      <c r="Q24">
        <v>1</v>
      </c>
      <c r="X24">
        <v>0.71</v>
      </c>
      <c r="Y24">
        <v>0</v>
      </c>
      <c r="Z24">
        <v>169.44</v>
      </c>
      <c r="AA24">
        <v>15.02</v>
      </c>
      <c r="AB24">
        <v>0</v>
      </c>
      <c r="AC24">
        <v>0</v>
      </c>
      <c r="AD24">
        <v>1</v>
      </c>
      <c r="AE24">
        <v>0</v>
      </c>
      <c r="AF24" t="s">
        <v>3</v>
      </c>
      <c r="AG24">
        <v>0.71</v>
      </c>
      <c r="AH24">
        <v>2</v>
      </c>
      <c r="AI24">
        <v>45748248</v>
      </c>
      <c r="AJ24">
        <v>24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x14ac:dyDescent="0.2">
      <c r="A25">
        <f>ROW(Source!A41)</f>
        <v>41</v>
      </c>
      <c r="B25">
        <v>45748253</v>
      </c>
      <c r="C25">
        <v>45748246</v>
      </c>
      <c r="D25">
        <v>24907428</v>
      </c>
      <c r="E25">
        <v>1</v>
      </c>
      <c r="F25">
        <v>1</v>
      </c>
      <c r="G25">
        <v>24859158</v>
      </c>
      <c r="H25">
        <v>3</v>
      </c>
      <c r="I25" t="s">
        <v>285</v>
      </c>
      <c r="J25" t="s">
        <v>286</v>
      </c>
      <c r="K25" t="s">
        <v>287</v>
      </c>
      <c r="L25">
        <v>1348</v>
      </c>
      <c r="N25">
        <v>1009</v>
      </c>
      <c r="O25" t="s">
        <v>44</v>
      </c>
      <c r="P25" t="s">
        <v>44</v>
      </c>
      <c r="Q25">
        <v>1000</v>
      </c>
      <c r="X25">
        <v>0.06</v>
      </c>
      <c r="Y25">
        <v>3501.78</v>
      </c>
      <c r="Z25">
        <v>0</v>
      </c>
      <c r="AA25">
        <v>0</v>
      </c>
      <c r="AB25">
        <v>0</v>
      </c>
      <c r="AC25">
        <v>0</v>
      </c>
      <c r="AD25">
        <v>1</v>
      </c>
      <c r="AE25">
        <v>0</v>
      </c>
      <c r="AF25" t="s">
        <v>3</v>
      </c>
      <c r="AG25">
        <v>0.06</v>
      </c>
      <c r="AH25">
        <v>2</v>
      </c>
      <c r="AI25">
        <v>45748249</v>
      </c>
      <c r="AJ25">
        <v>25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x14ac:dyDescent="0.2">
      <c r="A26">
        <f>ROW(Source!A41)</f>
        <v>41</v>
      </c>
      <c r="B26">
        <v>45748254</v>
      </c>
      <c r="C26">
        <v>45748246</v>
      </c>
      <c r="D26">
        <v>24873032</v>
      </c>
      <c r="E26">
        <v>24859158</v>
      </c>
      <c r="F26">
        <v>1</v>
      </c>
      <c r="G26">
        <v>24859158</v>
      </c>
      <c r="H26">
        <v>3</v>
      </c>
      <c r="I26" t="s">
        <v>333</v>
      </c>
      <c r="J26" t="s">
        <v>3</v>
      </c>
      <c r="K26" t="s">
        <v>334</v>
      </c>
      <c r="L26">
        <v>1348</v>
      </c>
      <c r="N26">
        <v>1009</v>
      </c>
      <c r="O26" t="s">
        <v>44</v>
      </c>
      <c r="P26" t="s">
        <v>44</v>
      </c>
      <c r="Q26">
        <v>1000</v>
      </c>
      <c r="X26">
        <v>10.7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 t="s">
        <v>3</v>
      </c>
      <c r="AG26">
        <v>10.7</v>
      </c>
      <c r="AH26">
        <v>3</v>
      </c>
      <c r="AI26">
        <v>-1</v>
      </c>
      <c r="AJ26" t="s">
        <v>3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x14ac:dyDescent="0.2">
      <c r="A27">
        <f>ROW(Source!A44)</f>
        <v>44</v>
      </c>
      <c r="B27">
        <v>45748235</v>
      </c>
      <c r="C27">
        <v>45748225</v>
      </c>
      <c r="D27">
        <v>24859163</v>
      </c>
      <c r="E27">
        <v>24859158</v>
      </c>
      <c r="F27">
        <v>1</v>
      </c>
      <c r="G27">
        <v>24859158</v>
      </c>
      <c r="H27">
        <v>1</v>
      </c>
      <c r="I27" t="s">
        <v>263</v>
      </c>
      <c r="J27" t="s">
        <v>3</v>
      </c>
      <c r="K27" t="s">
        <v>264</v>
      </c>
      <c r="L27">
        <v>1191</v>
      </c>
      <c r="N27">
        <v>1013</v>
      </c>
      <c r="O27" t="s">
        <v>265</v>
      </c>
      <c r="P27" t="s">
        <v>265</v>
      </c>
      <c r="Q27">
        <v>1</v>
      </c>
      <c r="X27">
        <v>8.9600000000000009</v>
      </c>
      <c r="Y27">
        <v>0</v>
      </c>
      <c r="Z27">
        <v>0</v>
      </c>
      <c r="AA27">
        <v>0</v>
      </c>
      <c r="AB27">
        <v>0</v>
      </c>
      <c r="AC27">
        <v>0</v>
      </c>
      <c r="AD27">
        <v>1</v>
      </c>
      <c r="AE27">
        <v>1</v>
      </c>
      <c r="AF27" t="s">
        <v>3</v>
      </c>
      <c r="AG27">
        <v>8.9600000000000009</v>
      </c>
      <c r="AH27">
        <v>2</v>
      </c>
      <c r="AI27">
        <v>45748235</v>
      </c>
      <c r="AJ27">
        <v>27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x14ac:dyDescent="0.2">
      <c r="A28">
        <f>ROW(Source!A44)</f>
        <v>44</v>
      </c>
      <c r="B28">
        <v>45748236</v>
      </c>
      <c r="C28">
        <v>45748225</v>
      </c>
      <c r="D28">
        <v>24931797</v>
      </c>
      <c r="E28">
        <v>1</v>
      </c>
      <c r="F28">
        <v>1</v>
      </c>
      <c r="G28">
        <v>24859158</v>
      </c>
      <c r="H28">
        <v>2</v>
      </c>
      <c r="I28" t="s">
        <v>282</v>
      </c>
      <c r="J28" t="s">
        <v>283</v>
      </c>
      <c r="K28" t="s">
        <v>284</v>
      </c>
      <c r="L28">
        <v>1367</v>
      </c>
      <c r="N28">
        <v>1011</v>
      </c>
      <c r="O28" t="s">
        <v>269</v>
      </c>
      <c r="P28" t="s">
        <v>269</v>
      </c>
      <c r="Q28">
        <v>1</v>
      </c>
      <c r="X28">
        <v>0.71</v>
      </c>
      <c r="Y28">
        <v>0</v>
      </c>
      <c r="Z28">
        <v>169.44</v>
      </c>
      <c r="AA28">
        <v>15.02</v>
      </c>
      <c r="AB28">
        <v>0</v>
      </c>
      <c r="AC28">
        <v>0</v>
      </c>
      <c r="AD28">
        <v>1</v>
      </c>
      <c r="AE28">
        <v>0</v>
      </c>
      <c r="AF28" t="s">
        <v>3</v>
      </c>
      <c r="AG28">
        <v>0.71</v>
      </c>
      <c r="AH28">
        <v>2</v>
      </c>
      <c r="AI28">
        <v>45748236</v>
      </c>
      <c r="AJ28">
        <v>28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x14ac:dyDescent="0.2">
      <c r="A29">
        <f>ROW(Source!A44)</f>
        <v>44</v>
      </c>
      <c r="B29">
        <v>45748237</v>
      </c>
      <c r="C29">
        <v>45748225</v>
      </c>
      <c r="D29">
        <v>24907428</v>
      </c>
      <c r="E29">
        <v>1</v>
      </c>
      <c r="F29">
        <v>1</v>
      </c>
      <c r="G29">
        <v>24859158</v>
      </c>
      <c r="H29">
        <v>3</v>
      </c>
      <c r="I29" t="s">
        <v>285</v>
      </c>
      <c r="J29" t="s">
        <v>286</v>
      </c>
      <c r="K29" t="s">
        <v>287</v>
      </c>
      <c r="L29">
        <v>1348</v>
      </c>
      <c r="N29">
        <v>1009</v>
      </c>
      <c r="O29" t="s">
        <v>44</v>
      </c>
      <c r="P29" t="s">
        <v>44</v>
      </c>
      <c r="Q29">
        <v>1000</v>
      </c>
      <c r="X29">
        <v>0.06</v>
      </c>
      <c r="Y29">
        <v>3501.78</v>
      </c>
      <c r="Z29">
        <v>0</v>
      </c>
      <c r="AA29">
        <v>0</v>
      </c>
      <c r="AB29">
        <v>0</v>
      </c>
      <c r="AC29">
        <v>0</v>
      </c>
      <c r="AD29">
        <v>1</v>
      </c>
      <c r="AE29">
        <v>0</v>
      </c>
      <c r="AF29" t="s">
        <v>3</v>
      </c>
      <c r="AG29">
        <v>0.06</v>
      </c>
      <c r="AH29">
        <v>2</v>
      </c>
      <c r="AI29">
        <v>45748237</v>
      </c>
      <c r="AJ29">
        <v>29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x14ac:dyDescent="0.2">
      <c r="A30">
        <f>ROW(Source!A44)</f>
        <v>44</v>
      </c>
      <c r="B30">
        <v>45748238</v>
      </c>
      <c r="C30">
        <v>45748225</v>
      </c>
      <c r="D30">
        <v>24873997</v>
      </c>
      <c r="E30">
        <v>24859158</v>
      </c>
      <c r="F30">
        <v>1</v>
      </c>
      <c r="G30">
        <v>24859158</v>
      </c>
      <c r="H30">
        <v>3</v>
      </c>
      <c r="I30" t="s">
        <v>333</v>
      </c>
      <c r="J30" t="s">
        <v>3</v>
      </c>
      <c r="K30" t="s">
        <v>334</v>
      </c>
      <c r="L30">
        <v>1348</v>
      </c>
      <c r="N30">
        <v>1009</v>
      </c>
      <c r="O30" t="s">
        <v>44</v>
      </c>
      <c r="P30" t="s">
        <v>44</v>
      </c>
      <c r="Q30">
        <v>1000</v>
      </c>
      <c r="X30">
        <v>7.14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 t="s">
        <v>3</v>
      </c>
      <c r="AG30">
        <v>7.14</v>
      </c>
      <c r="AH30">
        <v>3</v>
      </c>
      <c r="AI30">
        <v>-1</v>
      </c>
      <c r="AJ30" t="s">
        <v>3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x14ac:dyDescent="0.2">
      <c r="A31">
        <f>ROW(Source!A45)</f>
        <v>45</v>
      </c>
      <c r="B31">
        <v>45748235</v>
      </c>
      <c r="C31">
        <v>45748225</v>
      </c>
      <c r="D31">
        <v>24859163</v>
      </c>
      <c r="E31">
        <v>24859158</v>
      </c>
      <c r="F31">
        <v>1</v>
      </c>
      <c r="G31">
        <v>24859158</v>
      </c>
      <c r="H31">
        <v>1</v>
      </c>
      <c r="I31" t="s">
        <v>263</v>
      </c>
      <c r="J31" t="s">
        <v>3</v>
      </c>
      <c r="K31" t="s">
        <v>264</v>
      </c>
      <c r="L31">
        <v>1191</v>
      </c>
      <c r="N31">
        <v>1013</v>
      </c>
      <c r="O31" t="s">
        <v>265</v>
      </c>
      <c r="P31" t="s">
        <v>265</v>
      </c>
      <c r="Q31">
        <v>1</v>
      </c>
      <c r="X31">
        <v>8.9600000000000009</v>
      </c>
      <c r="Y31">
        <v>0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1</v>
      </c>
      <c r="AF31" t="s">
        <v>3</v>
      </c>
      <c r="AG31">
        <v>8.9600000000000009</v>
      </c>
      <c r="AH31">
        <v>2</v>
      </c>
      <c r="AI31">
        <v>45748235</v>
      </c>
      <c r="AJ31">
        <v>31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x14ac:dyDescent="0.2">
      <c r="A32">
        <f>ROW(Source!A45)</f>
        <v>45</v>
      </c>
      <c r="B32">
        <v>45748236</v>
      </c>
      <c r="C32">
        <v>45748225</v>
      </c>
      <c r="D32">
        <v>24931797</v>
      </c>
      <c r="E32">
        <v>1</v>
      </c>
      <c r="F32">
        <v>1</v>
      </c>
      <c r="G32">
        <v>24859158</v>
      </c>
      <c r="H32">
        <v>2</v>
      </c>
      <c r="I32" t="s">
        <v>282</v>
      </c>
      <c r="J32" t="s">
        <v>283</v>
      </c>
      <c r="K32" t="s">
        <v>284</v>
      </c>
      <c r="L32">
        <v>1367</v>
      </c>
      <c r="N32">
        <v>1011</v>
      </c>
      <c r="O32" t="s">
        <v>269</v>
      </c>
      <c r="P32" t="s">
        <v>269</v>
      </c>
      <c r="Q32">
        <v>1</v>
      </c>
      <c r="X32">
        <v>0.71</v>
      </c>
      <c r="Y32">
        <v>0</v>
      </c>
      <c r="Z32">
        <v>169.44</v>
      </c>
      <c r="AA32">
        <v>15.02</v>
      </c>
      <c r="AB32">
        <v>0</v>
      </c>
      <c r="AC32">
        <v>0</v>
      </c>
      <c r="AD32">
        <v>1</v>
      </c>
      <c r="AE32">
        <v>0</v>
      </c>
      <c r="AF32" t="s">
        <v>3</v>
      </c>
      <c r="AG32">
        <v>0.71</v>
      </c>
      <c r="AH32">
        <v>2</v>
      </c>
      <c r="AI32">
        <v>45748236</v>
      </c>
      <c r="AJ32">
        <v>32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x14ac:dyDescent="0.2">
      <c r="A33">
        <f>ROW(Source!A45)</f>
        <v>45</v>
      </c>
      <c r="B33">
        <v>45748237</v>
      </c>
      <c r="C33">
        <v>45748225</v>
      </c>
      <c r="D33">
        <v>24907428</v>
      </c>
      <c r="E33">
        <v>1</v>
      </c>
      <c r="F33">
        <v>1</v>
      </c>
      <c r="G33">
        <v>24859158</v>
      </c>
      <c r="H33">
        <v>3</v>
      </c>
      <c r="I33" t="s">
        <v>285</v>
      </c>
      <c r="J33" t="s">
        <v>286</v>
      </c>
      <c r="K33" t="s">
        <v>287</v>
      </c>
      <c r="L33">
        <v>1348</v>
      </c>
      <c r="N33">
        <v>1009</v>
      </c>
      <c r="O33" t="s">
        <v>44</v>
      </c>
      <c r="P33" t="s">
        <v>44</v>
      </c>
      <c r="Q33">
        <v>1000</v>
      </c>
      <c r="X33">
        <v>0.06</v>
      </c>
      <c r="Y33">
        <v>3501.78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0</v>
      </c>
      <c r="AF33" t="s">
        <v>3</v>
      </c>
      <c r="AG33">
        <v>0.06</v>
      </c>
      <c r="AH33">
        <v>2</v>
      </c>
      <c r="AI33">
        <v>45748237</v>
      </c>
      <c r="AJ33">
        <v>33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x14ac:dyDescent="0.2">
      <c r="A34">
        <f>ROW(Source!A45)</f>
        <v>45</v>
      </c>
      <c r="B34">
        <v>45748238</v>
      </c>
      <c r="C34">
        <v>45748225</v>
      </c>
      <c r="D34">
        <v>24873997</v>
      </c>
      <c r="E34">
        <v>24859158</v>
      </c>
      <c r="F34">
        <v>1</v>
      </c>
      <c r="G34">
        <v>24859158</v>
      </c>
      <c r="H34">
        <v>3</v>
      </c>
      <c r="I34" t="s">
        <v>333</v>
      </c>
      <c r="J34" t="s">
        <v>3</v>
      </c>
      <c r="K34" t="s">
        <v>334</v>
      </c>
      <c r="L34">
        <v>1348</v>
      </c>
      <c r="N34">
        <v>1009</v>
      </c>
      <c r="O34" t="s">
        <v>44</v>
      </c>
      <c r="P34" t="s">
        <v>44</v>
      </c>
      <c r="Q34">
        <v>1000</v>
      </c>
      <c r="X34">
        <v>7.14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 t="s">
        <v>3</v>
      </c>
      <c r="AG34">
        <v>7.14</v>
      </c>
      <c r="AH34">
        <v>3</v>
      </c>
      <c r="AI34">
        <v>-1</v>
      </c>
      <c r="AJ34" t="s">
        <v>3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x14ac:dyDescent="0.2">
      <c r="A35">
        <f>ROW(Source!A83)</f>
        <v>83</v>
      </c>
      <c r="B35">
        <v>45748403</v>
      </c>
      <c r="C35">
        <v>45748350</v>
      </c>
      <c r="D35">
        <v>24859163</v>
      </c>
      <c r="E35">
        <v>24859158</v>
      </c>
      <c r="F35">
        <v>1</v>
      </c>
      <c r="G35">
        <v>24859158</v>
      </c>
      <c r="H35">
        <v>1</v>
      </c>
      <c r="I35" t="s">
        <v>263</v>
      </c>
      <c r="J35" t="s">
        <v>3</v>
      </c>
      <c r="K35" t="s">
        <v>264</v>
      </c>
      <c r="L35">
        <v>1191</v>
      </c>
      <c r="N35">
        <v>1013</v>
      </c>
      <c r="O35" t="s">
        <v>265</v>
      </c>
      <c r="P35" t="s">
        <v>265</v>
      </c>
      <c r="Q35">
        <v>1</v>
      </c>
      <c r="X35">
        <v>76.7</v>
      </c>
      <c r="Y35">
        <v>0</v>
      </c>
      <c r="Z35">
        <v>0</v>
      </c>
      <c r="AA35">
        <v>0</v>
      </c>
      <c r="AB35">
        <v>0</v>
      </c>
      <c r="AC35">
        <v>0</v>
      </c>
      <c r="AD35">
        <v>1</v>
      </c>
      <c r="AE35">
        <v>1</v>
      </c>
      <c r="AF35" t="s">
        <v>3</v>
      </c>
      <c r="AG35">
        <v>76.7</v>
      </c>
      <c r="AH35">
        <v>2</v>
      </c>
      <c r="AI35">
        <v>45748403</v>
      </c>
      <c r="AJ35">
        <v>35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x14ac:dyDescent="0.2">
      <c r="A36">
        <f>ROW(Source!A84)</f>
        <v>84</v>
      </c>
      <c r="B36">
        <v>45748403</v>
      </c>
      <c r="C36">
        <v>45748350</v>
      </c>
      <c r="D36">
        <v>24859163</v>
      </c>
      <c r="E36">
        <v>24859158</v>
      </c>
      <c r="F36">
        <v>1</v>
      </c>
      <c r="G36">
        <v>24859158</v>
      </c>
      <c r="H36">
        <v>1</v>
      </c>
      <c r="I36" t="s">
        <v>263</v>
      </c>
      <c r="J36" t="s">
        <v>3</v>
      </c>
      <c r="K36" t="s">
        <v>264</v>
      </c>
      <c r="L36">
        <v>1191</v>
      </c>
      <c r="N36">
        <v>1013</v>
      </c>
      <c r="O36" t="s">
        <v>265</v>
      </c>
      <c r="P36" t="s">
        <v>265</v>
      </c>
      <c r="Q36">
        <v>1</v>
      </c>
      <c r="X36">
        <v>76.7</v>
      </c>
      <c r="Y36">
        <v>0</v>
      </c>
      <c r="Z36">
        <v>0</v>
      </c>
      <c r="AA36">
        <v>0</v>
      </c>
      <c r="AB36">
        <v>0</v>
      </c>
      <c r="AC36">
        <v>0</v>
      </c>
      <c r="AD36">
        <v>1</v>
      </c>
      <c r="AE36">
        <v>1</v>
      </c>
      <c r="AF36" t="s">
        <v>3</v>
      </c>
      <c r="AG36">
        <v>76.7</v>
      </c>
      <c r="AH36">
        <v>2</v>
      </c>
      <c r="AI36">
        <v>45748403</v>
      </c>
      <c r="AJ36">
        <v>36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x14ac:dyDescent="0.2">
      <c r="A37">
        <f>ROW(Source!A85)</f>
        <v>85</v>
      </c>
      <c r="B37">
        <v>45748404</v>
      </c>
      <c r="C37">
        <v>45748352</v>
      </c>
      <c r="D37">
        <v>24859885</v>
      </c>
      <c r="E37">
        <v>24859158</v>
      </c>
      <c r="F37">
        <v>1</v>
      </c>
      <c r="G37">
        <v>24859158</v>
      </c>
      <c r="H37">
        <v>2</v>
      </c>
      <c r="I37" t="s">
        <v>276</v>
      </c>
      <c r="J37" t="s">
        <v>3</v>
      </c>
      <c r="K37" t="s">
        <v>277</v>
      </c>
      <c r="L37">
        <v>1344</v>
      </c>
      <c r="N37">
        <v>1008</v>
      </c>
      <c r="O37" t="s">
        <v>278</v>
      </c>
      <c r="P37" t="s">
        <v>278</v>
      </c>
      <c r="Q37">
        <v>1</v>
      </c>
      <c r="X37">
        <v>8.86</v>
      </c>
      <c r="Y37">
        <v>0</v>
      </c>
      <c r="Z37">
        <v>1</v>
      </c>
      <c r="AA37">
        <v>0</v>
      </c>
      <c r="AB37">
        <v>0</v>
      </c>
      <c r="AC37">
        <v>0</v>
      </c>
      <c r="AD37">
        <v>1</v>
      </c>
      <c r="AE37">
        <v>0</v>
      </c>
      <c r="AF37" t="s">
        <v>3</v>
      </c>
      <c r="AG37">
        <v>8.86</v>
      </c>
      <c r="AH37">
        <v>2</v>
      </c>
      <c r="AI37">
        <v>45748404</v>
      </c>
      <c r="AJ37">
        <v>37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x14ac:dyDescent="0.2">
      <c r="A38">
        <f>ROW(Source!A86)</f>
        <v>86</v>
      </c>
      <c r="B38">
        <v>45748404</v>
      </c>
      <c r="C38">
        <v>45748352</v>
      </c>
      <c r="D38">
        <v>24859885</v>
      </c>
      <c r="E38">
        <v>24859158</v>
      </c>
      <c r="F38">
        <v>1</v>
      </c>
      <c r="G38">
        <v>24859158</v>
      </c>
      <c r="H38">
        <v>2</v>
      </c>
      <c r="I38" t="s">
        <v>276</v>
      </c>
      <c r="J38" t="s">
        <v>3</v>
      </c>
      <c r="K38" t="s">
        <v>277</v>
      </c>
      <c r="L38">
        <v>1344</v>
      </c>
      <c r="N38">
        <v>1008</v>
      </c>
      <c r="O38" t="s">
        <v>278</v>
      </c>
      <c r="P38" t="s">
        <v>278</v>
      </c>
      <c r="Q38">
        <v>1</v>
      </c>
      <c r="X38">
        <v>8.86</v>
      </c>
      <c r="Y38">
        <v>0</v>
      </c>
      <c r="Z38">
        <v>1</v>
      </c>
      <c r="AA38">
        <v>0</v>
      </c>
      <c r="AB38">
        <v>0</v>
      </c>
      <c r="AC38">
        <v>0</v>
      </c>
      <c r="AD38">
        <v>1</v>
      </c>
      <c r="AE38">
        <v>0</v>
      </c>
      <c r="AF38" t="s">
        <v>3</v>
      </c>
      <c r="AG38">
        <v>8.86</v>
      </c>
      <c r="AH38">
        <v>2</v>
      </c>
      <c r="AI38">
        <v>45748404</v>
      </c>
      <c r="AJ38">
        <v>38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x14ac:dyDescent="0.2">
      <c r="A39">
        <f>ROW(Source!A87)</f>
        <v>87</v>
      </c>
      <c r="B39">
        <v>45748405</v>
      </c>
      <c r="C39">
        <v>45748355</v>
      </c>
      <c r="D39">
        <v>24859163</v>
      </c>
      <c r="E39">
        <v>24859158</v>
      </c>
      <c r="F39">
        <v>1</v>
      </c>
      <c r="G39">
        <v>24859158</v>
      </c>
      <c r="H39">
        <v>1</v>
      </c>
      <c r="I39" t="s">
        <v>263</v>
      </c>
      <c r="J39" t="s">
        <v>3</v>
      </c>
      <c r="K39" t="s">
        <v>264</v>
      </c>
      <c r="L39">
        <v>1191</v>
      </c>
      <c r="N39">
        <v>1013</v>
      </c>
      <c r="O39" t="s">
        <v>265</v>
      </c>
      <c r="P39" t="s">
        <v>265</v>
      </c>
      <c r="Q39">
        <v>1</v>
      </c>
      <c r="X39">
        <v>1.02</v>
      </c>
      <c r="Y39">
        <v>0</v>
      </c>
      <c r="Z39">
        <v>0</v>
      </c>
      <c r="AA39">
        <v>0</v>
      </c>
      <c r="AB39">
        <v>0</v>
      </c>
      <c r="AC39">
        <v>0</v>
      </c>
      <c r="AD39">
        <v>1</v>
      </c>
      <c r="AE39">
        <v>1</v>
      </c>
      <c r="AF39" t="s">
        <v>3</v>
      </c>
      <c r="AG39">
        <v>1.02</v>
      </c>
      <c r="AH39">
        <v>2</v>
      </c>
      <c r="AI39">
        <v>45748405</v>
      </c>
      <c r="AJ39">
        <v>39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x14ac:dyDescent="0.2">
      <c r="A40">
        <f>ROW(Source!A88)</f>
        <v>88</v>
      </c>
      <c r="B40">
        <v>45748405</v>
      </c>
      <c r="C40">
        <v>45748355</v>
      </c>
      <c r="D40">
        <v>24859163</v>
      </c>
      <c r="E40">
        <v>24859158</v>
      </c>
      <c r="F40">
        <v>1</v>
      </c>
      <c r="G40">
        <v>24859158</v>
      </c>
      <c r="H40">
        <v>1</v>
      </c>
      <c r="I40" t="s">
        <v>263</v>
      </c>
      <c r="J40" t="s">
        <v>3</v>
      </c>
      <c r="K40" t="s">
        <v>264</v>
      </c>
      <c r="L40">
        <v>1191</v>
      </c>
      <c r="N40">
        <v>1013</v>
      </c>
      <c r="O40" t="s">
        <v>265</v>
      </c>
      <c r="P40" t="s">
        <v>265</v>
      </c>
      <c r="Q40">
        <v>1</v>
      </c>
      <c r="X40">
        <v>1.02</v>
      </c>
      <c r="Y40">
        <v>0</v>
      </c>
      <c r="Z40">
        <v>0</v>
      </c>
      <c r="AA40">
        <v>0</v>
      </c>
      <c r="AB40">
        <v>0</v>
      </c>
      <c r="AC40">
        <v>0</v>
      </c>
      <c r="AD40">
        <v>1</v>
      </c>
      <c r="AE40">
        <v>1</v>
      </c>
      <c r="AF40" t="s">
        <v>3</v>
      </c>
      <c r="AG40">
        <v>1.02</v>
      </c>
      <c r="AH40">
        <v>2</v>
      </c>
      <c r="AI40">
        <v>45748405</v>
      </c>
      <c r="AJ40">
        <v>40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x14ac:dyDescent="0.2">
      <c r="A41">
        <f>ROW(Source!A89)</f>
        <v>89</v>
      </c>
      <c r="B41">
        <v>45748406</v>
      </c>
      <c r="C41">
        <v>45748358</v>
      </c>
      <c r="D41">
        <v>26556675</v>
      </c>
      <c r="E41">
        <v>1</v>
      </c>
      <c r="F41">
        <v>1</v>
      </c>
      <c r="G41">
        <v>24859158</v>
      </c>
      <c r="H41">
        <v>2</v>
      </c>
      <c r="I41" t="s">
        <v>279</v>
      </c>
      <c r="J41" t="s">
        <v>280</v>
      </c>
      <c r="K41" t="s">
        <v>281</v>
      </c>
      <c r="L41">
        <v>1367</v>
      </c>
      <c r="N41">
        <v>1011</v>
      </c>
      <c r="O41" t="s">
        <v>269</v>
      </c>
      <c r="P41" t="s">
        <v>269</v>
      </c>
      <c r="Q41">
        <v>1</v>
      </c>
      <c r="X41">
        <v>1</v>
      </c>
      <c r="Y41">
        <v>0</v>
      </c>
      <c r="Z41">
        <v>193.32</v>
      </c>
      <c r="AA41">
        <v>18.11</v>
      </c>
      <c r="AB41">
        <v>0</v>
      </c>
      <c r="AC41">
        <v>0</v>
      </c>
      <c r="AD41">
        <v>1</v>
      </c>
      <c r="AE41">
        <v>0</v>
      </c>
      <c r="AF41" t="s">
        <v>3</v>
      </c>
      <c r="AG41">
        <v>1</v>
      </c>
      <c r="AH41">
        <v>2</v>
      </c>
      <c r="AI41">
        <v>45748406</v>
      </c>
      <c r="AJ41">
        <v>41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x14ac:dyDescent="0.2">
      <c r="A42">
        <f>ROW(Source!A90)</f>
        <v>90</v>
      </c>
      <c r="B42">
        <v>45748406</v>
      </c>
      <c r="C42">
        <v>45748358</v>
      </c>
      <c r="D42">
        <v>26556675</v>
      </c>
      <c r="E42">
        <v>1</v>
      </c>
      <c r="F42">
        <v>1</v>
      </c>
      <c r="G42">
        <v>24859158</v>
      </c>
      <c r="H42">
        <v>2</v>
      </c>
      <c r="I42" t="s">
        <v>279</v>
      </c>
      <c r="J42" t="s">
        <v>280</v>
      </c>
      <c r="K42" t="s">
        <v>281</v>
      </c>
      <c r="L42">
        <v>1367</v>
      </c>
      <c r="N42">
        <v>1011</v>
      </c>
      <c r="O42" t="s">
        <v>269</v>
      </c>
      <c r="P42" t="s">
        <v>269</v>
      </c>
      <c r="Q42">
        <v>1</v>
      </c>
      <c r="X42">
        <v>1</v>
      </c>
      <c r="Y42">
        <v>0</v>
      </c>
      <c r="Z42">
        <v>193.32</v>
      </c>
      <c r="AA42">
        <v>18.11</v>
      </c>
      <c r="AB42">
        <v>0</v>
      </c>
      <c r="AC42">
        <v>0</v>
      </c>
      <c r="AD42">
        <v>1</v>
      </c>
      <c r="AE42">
        <v>0</v>
      </c>
      <c r="AF42" t="s">
        <v>3</v>
      </c>
      <c r="AG42">
        <v>1</v>
      </c>
      <c r="AH42">
        <v>2</v>
      </c>
      <c r="AI42">
        <v>45748406</v>
      </c>
      <c r="AJ42">
        <v>42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x14ac:dyDescent="0.2">
      <c r="A43">
        <f>ROW(Source!A91)</f>
        <v>91</v>
      </c>
      <c r="B43">
        <v>45748407</v>
      </c>
      <c r="C43">
        <v>45748389</v>
      </c>
      <c r="D43">
        <v>24859885</v>
      </c>
      <c r="E43">
        <v>24859158</v>
      </c>
      <c r="F43">
        <v>1</v>
      </c>
      <c r="G43">
        <v>24859158</v>
      </c>
      <c r="H43">
        <v>2</v>
      </c>
      <c r="I43" t="s">
        <v>276</v>
      </c>
      <c r="J43" t="s">
        <v>3</v>
      </c>
      <c r="K43" t="s">
        <v>277</v>
      </c>
      <c r="L43">
        <v>1344</v>
      </c>
      <c r="N43">
        <v>1008</v>
      </c>
      <c r="O43" t="s">
        <v>278</v>
      </c>
      <c r="P43" t="s">
        <v>278</v>
      </c>
      <c r="Q43">
        <v>1</v>
      </c>
      <c r="X43">
        <v>21.71</v>
      </c>
      <c r="Y43">
        <v>0</v>
      </c>
      <c r="Z43">
        <v>1</v>
      </c>
      <c r="AA43">
        <v>0</v>
      </c>
      <c r="AB43">
        <v>0</v>
      </c>
      <c r="AC43">
        <v>0</v>
      </c>
      <c r="AD43">
        <v>1</v>
      </c>
      <c r="AE43">
        <v>0</v>
      </c>
      <c r="AF43" t="s">
        <v>3</v>
      </c>
      <c r="AG43">
        <v>21.71</v>
      </c>
      <c r="AH43">
        <v>2</v>
      </c>
      <c r="AI43">
        <v>45748407</v>
      </c>
      <c r="AJ43">
        <v>43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x14ac:dyDescent="0.2">
      <c r="A44">
        <f>ROW(Source!A92)</f>
        <v>92</v>
      </c>
      <c r="B44">
        <v>45748407</v>
      </c>
      <c r="C44">
        <v>45748389</v>
      </c>
      <c r="D44">
        <v>24859885</v>
      </c>
      <c r="E44">
        <v>24859158</v>
      </c>
      <c r="F44">
        <v>1</v>
      </c>
      <c r="G44">
        <v>24859158</v>
      </c>
      <c r="H44">
        <v>2</v>
      </c>
      <c r="I44" t="s">
        <v>276</v>
      </c>
      <c r="J44" t="s">
        <v>3</v>
      </c>
      <c r="K44" t="s">
        <v>277</v>
      </c>
      <c r="L44">
        <v>1344</v>
      </c>
      <c r="N44">
        <v>1008</v>
      </c>
      <c r="O44" t="s">
        <v>278</v>
      </c>
      <c r="P44" t="s">
        <v>278</v>
      </c>
      <c r="Q44">
        <v>1</v>
      </c>
      <c r="X44">
        <v>21.71</v>
      </c>
      <c r="Y44">
        <v>0</v>
      </c>
      <c r="Z44">
        <v>1</v>
      </c>
      <c r="AA44">
        <v>0</v>
      </c>
      <c r="AB44">
        <v>0</v>
      </c>
      <c r="AC44">
        <v>0</v>
      </c>
      <c r="AD44">
        <v>1</v>
      </c>
      <c r="AE44">
        <v>0</v>
      </c>
      <c r="AF44" t="s">
        <v>3</v>
      </c>
      <c r="AG44">
        <v>21.71</v>
      </c>
      <c r="AH44">
        <v>2</v>
      </c>
      <c r="AI44">
        <v>45748407</v>
      </c>
      <c r="AJ44">
        <v>44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x14ac:dyDescent="0.2">
      <c r="A45">
        <f>ROW(Source!A93)</f>
        <v>93</v>
      </c>
      <c r="B45">
        <v>45748392</v>
      </c>
      <c r="C45">
        <v>45748318</v>
      </c>
      <c r="D45">
        <v>24859163</v>
      </c>
      <c r="E45">
        <v>24859158</v>
      </c>
      <c r="F45">
        <v>1</v>
      </c>
      <c r="G45">
        <v>24859158</v>
      </c>
      <c r="H45">
        <v>1</v>
      </c>
      <c r="I45" t="s">
        <v>263</v>
      </c>
      <c r="J45" t="s">
        <v>3</v>
      </c>
      <c r="K45" t="s">
        <v>264</v>
      </c>
      <c r="L45">
        <v>1191</v>
      </c>
      <c r="N45">
        <v>1013</v>
      </c>
      <c r="O45" t="s">
        <v>265</v>
      </c>
      <c r="P45" t="s">
        <v>265</v>
      </c>
      <c r="Q45">
        <v>1</v>
      </c>
      <c r="X45">
        <v>14.4</v>
      </c>
      <c r="Y45">
        <v>0</v>
      </c>
      <c r="Z45">
        <v>0</v>
      </c>
      <c r="AA45">
        <v>0</v>
      </c>
      <c r="AB45">
        <v>0</v>
      </c>
      <c r="AC45">
        <v>0</v>
      </c>
      <c r="AD45">
        <v>1</v>
      </c>
      <c r="AE45">
        <v>1</v>
      </c>
      <c r="AF45" t="s">
        <v>3</v>
      </c>
      <c r="AG45">
        <v>14.4</v>
      </c>
      <c r="AH45">
        <v>2</v>
      </c>
      <c r="AI45">
        <v>45748392</v>
      </c>
      <c r="AJ45">
        <v>45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x14ac:dyDescent="0.2">
      <c r="A46">
        <f>ROW(Source!A93)</f>
        <v>93</v>
      </c>
      <c r="B46">
        <v>45748393</v>
      </c>
      <c r="C46">
        <v>45748318</v>
      </c>
      <c r="D46">
        <v>24931586</v>
      </c>
      <c r="E46">
        <v>1</v>
      </c>
      <c r="F46">
        <v>1</v>
      </c>
      <c r="G46">
        <v>24859158</v>
      </c>
      <c r="H46">
        <v>2</v>
      </c>
      <c r="I46" t="s">
        <v>288</v>
      </c>
      <c r="J46" t="s">
        <v>289</v>
      </c>
      <c r="K46" t="s">
        <v>290</v>
      </c>
      <c r="L46">
        <v>1367</v>
      </c>
      <c r="N46">
        <v>1011</v>
      </c>
      <c r="O46" t="s">
        <v>269</v>
      </c>
      <c r="P46" t="s">
        <v>269</v>
      </c>
      <c r="Q46">
        <v>1</v>
      </c>
      <c r="X46">
        <v>1.66</v>
      </c>
      <c r="Y46">
        <v>0</v>
      </c>
      <c r="Z46">
        <v>116.89</v>
      </c>
      <c r="AA46">
        <v>23.41</v>
      </c>
      <c r="AB46">
        <v>0</v>
      </c>
      <c r="AC46">
        <v>0</v>
      </c>
      <c r="AD46">
        <v>1</v>
      </c>
      <c r="AE46">
        <v>0</v>
      </c>
      <c r="AF46" t="s">
        <v>3</v>
      </c>
      <c r="AG46">
        <v>1.66</v>
      </c>
      <c r="AH46">
        <v>2</v>
      </c>
      <c r="AI46">
        <v>45748393</v>
      </c>
      <c r="AJ46">
        <v>46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x14ac:dyDescent="0.2">
      <c r="A47">
        <f>ROW(Source!A93)</f>
        <v>93</v>
      </c>
      <c r="B47">
        <v>45748394</v>
      </c>
      <c r="C47">
        <v>45748318</v>
      </c>
      <c r="D47">
        <v>24931809</v>
      </c>
      <c r="E47">
        <v>1</v>
      </c>
      <c r="F47">
        <v>1</v>
      </c>
      <c r="G47">
        <v>24859158</v>
      </c>
      <c r="H47">
        <v>2</v>
      </c>
      <c r="I47" t="s">
        <v>291</v>
      </c>
      <c r="J47" t="s">
        <v>292</v>
      </c>
      <c r="K47" t="s">
        <v>293</v>
      </c>
      <c r="L47">
        <v>1367</v>
      </c>
      <c r="N47">
        <v>1011</v>
      </c>
      <c r="O47" t="s">
        <v>269</v>
      </c>
      <c r="P47" t="s">
        <v>269</v>
      </c>
      <c r="Q47">
        <v>1</v>
      </c>
      <c r="X47">
        <v>1.66</v>
      </c>
      <c r="Y47">
        <v>0</v>
      </c>
      <c r="Z47">
        <v>62.97</v>
      </c>
      <c r="AA47">
        <v>6.64</v>
      </c>
      <c r="AB47">
        <v>0</v>
      </c>
      <c r="AC47">
        <v>0</v>
      </c>
      <c r="AD47">
        <v>1</v>
      </c>
      <c r="AE47">
        <v>0</v>
      </c>
      <c r="AF47" t="s">
        <v>3</v>
      </c>
      <c r="AG47">
        <v>1.66</v>
      </c>
      <c r="AH47">
        <v>2</v>
      </c>
      <c r="AI47">
        <v>45748394</v>
      </c>
      <c r="AJ47">
        <v>47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x14ac:dyDescent="0.2">
      <c r="A48">
        <f>ROW(Source!A93)</f>
        <v>93</v>
      </c>
      <c r="B48">
        <v>45748395</v>
      </c>
      <c r="C48">
        <v>45748318</v>
      </c>
      <c r="D48">
        <v>24931812</v>
      </c>
      <c r="E48">
        <v>1</v>
      </c>
      <c r="F48">
        <v>1</v>
      </c>
      <c r="G48">
        <v>24859158</v>
      </c>
      <c r="H48">
        <v>2</v>
      </c>
      <c r="I48" t="s">
        <v>294</v>
      </c>
      <c r="J48" t="s">
        <v>295</v>
      </c>
      <c r="K48" t="s">
        <v>296</v>
      </c>
      <c r="L48">
        <v>1367</v>
      </c>
      <c r="N48">
        <v>1011</v>
      </c>
      <c r="O48" t="s">
        <v>269</v>
      </c>
      <c r="P48" t="s">
        <v>269</v>
      </c>
      <c r="Q48">
        <v>1</v>
      </c>
      <c r="X48">
        <v>0.65</v>
      </c>
      <c r="Y48">
        <v>0</v>
      </c>
      <c r="Z48">
        <v>246.68</v>
      </c>
      <c r="AA48">
        <v>13.37</v>
      </c>
      <c r="AB48">
        <v>0</v>
      </c>
      <c r="AC48">
        <v>0</v>
      </c>
      <c r="AD48">
        <v>1</v>
      </c>
      <c r="AE48">
        <v>0</v>
      </c>
      <c r="AF48" t="s">
        <v>3</v>
      </c>
      <c r="AG48">
        <v>0.65</v>
      </c>
      <c r="AH48">
        <v>2</v>
      </c>
      <c r="AI48">
        <v>45748395</v>
      </c>
      <c r="AJ48">
        <v>48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x14ac:dyDescent="0.2">
      <c r="A49">
        <f>ROW(Source!A93)</f>
        <v>93</v>
      </c>
      <c r="B49">
        <v>45748396</v>
      </c>
      <c r="C49">
        <v>45748318</v>
      </c>
      <c r="D49">
        <v>24931840</v>
      </c>
      <c r="E49">
        <v>1</v>
      </c>
      <c r="F49">
        <v>1</v>
      </c>
      <c r="G49">
        <v>24859158</v>
      </c>
      <c r="H49">
        <v>2</v>
      </c>
      <c r="I49" t="s">
        <v>273</v>
      </c>
      <c r="J49" t="s">
        <v>274</v>
      </c>
      <c r="K49" t="s">
        <v>275</v>
      </c>
      <c r="L49">
        <v>1367</v>
      </c>
      <c r="N49">
        <v>1011</v>
      </c>
      <c r="O49" t="s">
        <v>269</v>
      </c>
      <c r="P49" t="s">
        <v>269</v>
      </c>
      <c r="Q49">
        <v>1</v>
      </c>
      <c r="X49">
        <v>1.55</v>
      </c>
      <c r="Y49">
        <v>0</v>
      </c>
      <c r="Z49">
        <v>125.13</v>
      </c>
      <c r="AA49">
        <v>24.74</v>
      </c>
      <c r="AB49">
        <v>0</v>
      </c>
      <c r="AC49">
        <v>0</v>
      </c>
      <c r="AD49">
        <v>1</v>
      </c>
      <c r="AE49">
        <v>0</v>
      </c>
      <c r="AF49" t="s">
        <v>3</v>
      </c>
      <c r="AG49">
        <v>1.55</v>
      </c>
      <c r="AH49">
        <v>2</v>
      </c>
      <c r="AI49">
        <v>45748396</v>
      </c>
      <c r="AJ49">
        <v>49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x14ac:dyDescent="0.2">
      <c r="A50">
        <f>ROW(Source!A93)</f>
        <v>93</v>
      </c>
      <c r="B50">
        <v>45748397</v>
      </c>
      <c r="C50">
        <v>45748318</v>
      </c>
      <c r="D50">
        <v>24931802</v>
      </c>
      <c r="E50">
        <v>1</v>
      </c>
      <c r="F50">
        <v>1</v>
      </c>
      <c r="G50">
        <v>24859158</v>
      </c>
      <c r="H50">
        <v>2</v>
      </c>
      <c r="I50" t="s">
        <v>297</v>
      </c>
      <c r="J50" t="s">
        <v>298</v>
      </c>
      <c r="K50" t="s">
        <v>299</v>
      </c>
      <c r="L50">
        <v>1367</v>
      </c>
      <c r="N50">
        <v>1011</v>
      </c>
      <c r="O50" t="s">
        <v>269</v>
      </c>
      <c r="P50" t="s">
        <v>269</v>
      </c>
      <c r="Q50">
        <v>1</v>
      </c>
      <c r="X50">
        <v>0.52</v>
      </c>
      <c r="Y50">
        <v>0</v>
      </c>
      <c r="Z50">
        <v>177.54</v>
      </c>
      <c r="AA50">
        <v>17.420000000000002</v>
      </c>
      <c r="AB50">
        <v>0</v>
      </c>
      <c r="AC50">
        <v>0</v>
      </c>
      <c r="AD50">
        <v>1</v>
      </c>
      <c r="AE50">
        <v>0</v>
      </c>
      <c r="AF50" t="s">
        <v>3</v>
      </c>
      <c r="AG50">
        <v>0.52</v>
      </c>
      <c r="AH50">
        <v>2</v>
      </c>
      <c r="AI50">
        <v>45748397</v>
      </c>
      <c r="AJ50">
        <v>50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x14ac:dyDescent="0.2">
      <c r="A51">
        <f>ROW(Source!A93)</f>
        <v>93</v>
      </c>
      <c r="B51">
        <v>45748398</v>
      </c>
      <c r="C51">
        <v>45748318</v>
      </c>
      <c r="D51">
        <v>24907493</v>
      </c>
      <c r="E51">
        <v>1</v>
      </c>
      <c r="F51">
        <v>1</v>
      </c>
      <c r="G51">
        <v>24859158</v>
      </c>
      <c r="H51">
        <v>3</v>
      </c>
      <c r="I51" t="s">
        <v>300</v>
      </c>
      <c r="J51" t="s">
        <v>301</v>
      </c>
      <c r="K51" t="s">
        <v>302</v>
      </c>
      <c r="L51">
        <v>1339</v>
      </c>
      <c r="N51">
        <v>1007</v>
      </c>
      <c r="O51" t="s">
        <v>150</v>
      </c>
      <c r="P51" t="s">
        <v>150</v>
      </c>
      <c r="Q51">
        <v>1</v>
      </c>
      <c r="X51">
        <v>5</v>
      </c>
      <c r="Y51">
        <v>7.07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0</v>
      </c>
      <c r="AF51" t="s">
        <v>3</v>
      </c>
      <c r="AG51">
        <v>5</v>
      </c>
      <c r="AH51">
        <v>2</v>
      </c>
      <c r="AI51">
        <v>45748398</v>
      </c>
      <c r="AJ51">
        <v>51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x14ac:dyDescent="0.2">
      <c r="A52">
        <f>ROW(Source!A93)</f>
        <v>93</v>
      </c>
      <c r="B52">
        <v>45748399</v>
      </c>
      <c r="C52">
        <v>45748318</v>
      </c>
      <c r="D52">
        <v>24872210</v>
      </c>
      <c r="E52">
        <v>24859158</v>
      </c>
      <c r="F52">
        <v>1</v>
      </c>
      <c r="G52">
        <v>24859158</v>
      </c>
      <c r="H52">
        <v>3</v>
      </c>
      <c r="I52" t="s">
        <v>335</v>
      </c>
      <c r="J52" t="s">
        <v>3</v>
      </c>
      <c r="K52" t="s">
        <v>336</v>
      </c>
      <c r="L52">
        <v>1339</v>
      </c>
      <c r="N52">
        <v>1007</v>
      </c>
      <c r="O52" t="s">
        <v>150</v>
      </c>
      <c r="P52" t="s">
        <v>150</v>
      </c>
      <c r="Q52">
        <v>1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 t="s">
        <v>3</v>
      </c>
      <c r="AG52">
        <v>0</v>
      </c>
      <c r="AH52">
        <v>3</v>
      </c>
      <c r="AI52">
        <v>-1</v>
      </c>
      <c r="AJ52" t="s">
        <v>3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x14ac:dyDescent="0.2">
      <c r="A53">
        <f>ROW(Source!A94)</f>
        <v>94</v>
      </c>
      <c r="B53">
        <v>45748392</v>
      </c>
      <c r="C53">
        <v>45748318</v>
      </c>
      <c r="D53">
        <v>24859163</v>
      </c>
      <c r="E53">
        <v>24859158</v>
      </c>
      <c r="F53">
        <v>1</v>
      </c>
      <c r="G53">
        <v>24859158</v>
      </c>
      <c r="H53">
        <v>1</v>
      </c>
      <c r="I53" t="s">
        <v>263</v>
      </c>
      <c r="J53" t="s">
        <v>3</v>
      </c>
      <c r="K53" t="s">
        <v>264</v>
      </c>
      <c r="L53">
        <v>1191</v>
      </c>
      <c r="N53">
        <v>1013</v>
      </c>
      <c r="O53" t="s">
        <v>265</v>
      </c>
      <c r="P53" t="s">
        <v>265</v>
      </c>
      <c r="Q53">
        <v>1</v>
      </c>
      <c r="X53">
        <v>14.4</v>
      </c>
      <c r="Y53">
        <v>0</v>
      </c>
      <c r="Z53">
        <v>0</v>
      </c>
      <c r="AA53">
        <v>0</v>
      </c>
      <c r="AB53">
        <v>0</v>
      </c>
      <c r="AC53">
        <v>0</v>
      </c>
      <c r="AD53">
        <v>1</v>
      </c>
      <c r="AE53">
        <v>1</v>
      </c>
      <c r="AF53" t="s">
        <v>3</v>
      </c>
      <c r="AG53">
        <v>14.4</v>
      </c>
      <c r="AH53">
        <v>2</v>
      </c>
      <c r="AI53">
        <v>45748392</v>
      </c>
      <c r="AJ53">
        <v>53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x14ac:dyDescent="0.2">
      <c r="A54">
        <f>ROW(Source!A94)</f>
        <v>94</v>
      </c>
      <c r="B54">
        <v>45748393</v>
      </c>
      <c r="C54">
        <v>45748318</v>
      </c>
      <c r="D54">
        <v>24931586</v>
      </c>
      <c r="E54">
        <v>1</v>
      </c>
      <c r="F54">
        <v>1</v>
      </c>
      <c r="G54">
        <v>24859158</v>
      </c>
      <c r="H54">
        <v>2</v>
      </c>
      <c r="I54" t="s">
        <v>288</v>
      </c>
      <c r="J54" t="s">
        <v>289</v>
      </c>
      <c r="K54" t="s">
        <v>290</v>
      </c>
      <c r="L54">
        <v>1367</v>
      </c>
      <c r="N54">
        <v>1011</v>
      </c>
      <c r="O54" t="s">
        <v>269</v>
      </c>
      <c r="P54" t="s">
        <v>269</v>
      </c>
      <c r="Q54">
        <v>1</v>
      </c>
      <c r="X54">
        <v>1.66</v>
      </c>
      <c r="Y54">
        <v>0</v>
      </c>
      <c r="Z54">
        <v>116.89</v>
      </c>
      <c r="AA54">
        <v>23.41</v>
      </c>
      <c r="AB54">
        <v>0</v>
      </c>
      <c r="AC54">
        <v>0</v>
      </c>
      <c r="AD54">
        <v>1</v>
      </c>
      <c r="AE54">
        <v>0</v>
      </c>
      <c r="AF54" t="s">
        <v>3</v>
      </c>
      <c r="AG54">
        <v>1.66</v>
      </c>
      <c r="AH54">
        <v>2</v>
      </c>
      <c r="AI54">
        <v>45748393</v>
      </c>
      <c r="AJ54">
        <v>54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x14ac:dyDescent="0.2">
      <c r="A55">
        <f>ROW(Source!A94)</f>
        <v>94</v>
      </c>
      <c r="B55">
        <v>45748394</v>
      </c>
      <c r="C55">
        <v>45748318</v>
      </c>
      <c r="D55">
        <v>24931809</v>
      </c>
      <c r="E55">
        <v>1</v>
      </c>
      <c r="F55">
        <v>1</v>
      </c>
      <c r="G55">
        <v>24859158</v>
      </c>
      <c r="H55">
        <v>2</v>
      </c>
      <c r="I55" t="s">
        <v>291</v>
      </c>
      <c r="J55" t="s">
        <v>292</v>
      </c>
      <c r="K55" t="s">
        <v>293</v>
      </c>
      <c r="L55">
        <v>1367</v>
      </c>
      <c r="N55">
        <v>1011</v>
      </c>
      <c r="O55" t="s">
        <v>269</v>
      </c>
      <c r="P55" t="s">
        <v>269</v>
      </c>
      <c r="Q55">
        <v>1</v>
      </c>
      <c r="X55">
        <v>1.66</v>
      </c>
      <c r="Y55">
        <v>0</v>
      </c>
      <c r="Z55">
        <v>62.97</v>
      </c>
      <c r="AA55">
        <v>6.64</v>
      </c>
      <c r="AB55">
        <v>0</v>
      </c>
      <c r="AC55">
        <v>0</v>
      </c>
      <c r="AD55">
        <v>1</v>
      </c>
      <c r="AE55">
        <v>0</v>
      </c>
      <c r="AF55" t="s">
        <v>3</v>
      </c>
      <c r="AG55">
        <v>1.66</v>
      </c>
      <c r="AH55">
        <v>2</v>
      </c>
      <c r="AI55">
        <v>45748394</v>
      </c>
      <c r="AJ55">
        <v>55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x14ac:dyDescent="0.2">
      <c r="A56">
        <f>ROW(Source!A94)</f>
        <v>94</v>
      </c>
      <c r="B56">
        <v>45748395</v>
      </c>
      <c r="C56">
        <v>45748318</v>
      </c>
      <c r="D56">
        <v>24931812</v>
      </c>
      <c r="E56">
        <v>1</v>
      </c>
      <c r="F56">
        <v>1</v>
      </c>
      <c r="G56">
        <v>24859158</v>
      </c>
      <c r="H56">
        <v>2</v>
      </c>
      <c r="I56" t="s">
        <v>294</v>
      </c>
      <c r="J56" t="s">
        <v>295</v>
      </c>
      <c r="K56" t="s">
        <v>296</v>
      </c>
      <c r="L56">
        <v>1367</v>
      </c>
      <c r="N56">
        <v>1011</v>
      </c>
      <c r="O56" t="s">
        <v>269</v>
      </c>
      <c r="P56" t="s">
        <v>269</v>
      </c>
      <c r="Q56">
        <v>1</v>
      </c>
      <c r="X56">
        <v>0.65</v>
      </c>
      <c r="Y56">
        <v>0</v>
      </c>
      <c r="Z56">
        <v>246.68</v>
      </c>
      <c r="AA56">
        <v>13.37</v>
      </c>
      <c r="AB56">
        <v>0</v>
      </c>
      <c r="AC56">
        <v>0</v>
      </c>
      <c r="AD56">
        <v>1</v>
      </c>
      <c r="AE56">
        <v>0</v>
      </c>
      <c r="AF56" t="s">
        <v>3</v>
      </c>
      <c r="AG56">
        <v>0.65</v>
      </c>
      <c r="AH56">
        <v>2</v>
      </c>
      <c r="AI56">
        <v>45748395</v>
      </c>
      <c r="AJ56">
        <v>56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x14ac:dyDescent="0.2">
      <c r="A57">
        <f>ROW(Source!A94)</f>
        <v>94</v>
      </c>
      <c r="B57">
        <v>45748396</v>
      </c>
      <c r="C57">
        <v>45748318</v>
      </c>
      <c r="D57">
        <v>24931840</v>
      </c>
      <c r="E57">
        <v>1</v>
      </c>
      <c r="F57">
        <v>1</v>
      </c>
      <c r="G57">
        <v>24859158</v>
      </c>
      <c r="H57">
        <v>2</v>
      </c>
      <c r="I57" t="s">
        <v>273</v>
      </c>
      <c r="J57" t="s">
        <v>274</v>
      </c>
      <c r="K57" t="s">
        <v>275</v>
      </c>
      <c r="L57">
        <v>1367</v>
      </c>
      <c r="N57">
        <v>1011</v>
      </c>
      <c r="O57" t="s">
        <v>269</v>
      </c>
      <c r="P57" t="s">
        <v>269</v>
      </c>
      <c r="Q57">
        <v>1</v>
      </c>
      <c r="X57">
        <v>1.55</v>
      </c>
      <c r="Y57">
        <v>0</v>
      </c>
      <c r="Z57">
        <v>125.13</v>
      </c>
      <c r="AA57">
        <v>24.74</v>
      </c>
      <c r="AB57">
        <v>0</v>
      </c>
      <c r="AC57">
        <v>0</v>
      </c>
      <c r="AD57">
        <v>1</v>
      </c>
      <c r="AE57">
        <v>0</v>
      </c>
      <c r="AF57" t="s">
        <v>3</v>
      </c>
      <c r="AG57">
        <v>1.55</v>
      </c>
      <c r="AH57">
        <v>2</v>
      </c>
      <c r="AI57">
        <v>45748396</v>
      </c>
      <c r="AJ57">
        <v>57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x14ac:dyDescent="0.2">
      <c r="A58">
        <f>ROW(Source!A94)</f>
        <v>94</v>
      </c>
      <c r="B58">
        <v>45748397</v>
      </c>
      <c r="C58">
        <v>45748318</v>
      </c>
      <c r="D58">
        <v>24931802</v>
      </c>
      <c r="E58">
        <v>1</v>
      </c>
      <c r="F58">
        <v>1</v>
      </c>
      <c r="G58">
        <v>24859158</v>
      </c>
      <c r="H58">
        <v>2</v>
      </c>
      <c r="I58" t="s">
        <v>297</v>
      </c>
      <c r="J58" t="s">
        <v>298</v>
      </c>
      <c r="K58" t="s">
        <v>299</v>
      </c>
      <c r="L58">
        <v>1367</v>
      </c>
      <c r="N58">
        <v>1011</v>
      </c>
      <c r="O58" t="s">
        <v>269</v>
      </c>
      <c r="P58" t="s">
        <v>269</v>
      </c>
      <c r="Q58">
        <v>1</v>
      </c>
      <c r="X58">
        <v>0.52</v>
      </c>
      <c r="Y58">
        <v>0</v>
      </c>
      <c r="Z58">
        <v>177.54</v>
      </c>
      <c r="AA58">
        <v>17.420000000000002</v>
      </c>
      <c r="AB58">
        <v>0</v>
      </c>
      <c r="AC58">
        <v>0</v>
      </c>
      <c r="AD58">
        <v>1</v>
      </c>
      <c r="AE58">
        <v>0</v>
      </c>
      <c r="AF58" t="s">
        <v>3</v>
      </c>
      <c r="AG58">
        <v>0.52</v>
      </c>
      <c r="AH58">
        <v>2</v>
      </c>
      <c r="AI58">
        <v>45748397</v>
      </c>
      <c r="AJ58">
        <v>58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x14ac:dyDescent="0.2">
      <c r="A59">
        <f>ROW(Source!A94)</f>
        <v>94</v>
      </c>
      <c r="B59">
        <v>45748398</v>
      </c>
      <c r="C59">
        <v>45748318</v>
      </c>
      <c r="D59">
        <v>24907493</v>
      </c>
      <c r="E59">
        <v>1</v>
      </c>
      <c r="F59">
        <v>1</v>
      </c>
      <c r="G59">
        <v>24859158</v>
      </c>
      <c r="H59">
        <v>3</v>
      </c>
      <c r="I59" t="s">
        <v>300</v>
      </c>
      <c r="J59" t="s">
        <v>301</v>
      </c>
      <c r="K59" t="s">
        <v>302</v>
      </c>
      <c r="L59">
        <v>1339</v>
      </c>
      <c r="N59">
        <v>1007</v>
      </c>
      <c r="O59" t="s">
        <v>150</v>
      </c>
      <c r="P59" t="s">
        <v>150</v>
      </c>
      <c r="Q59">
        <v>1</v>
      </c>
      <c r="X59">
        <v>5</v>
      </c>
      <c r="Y59">
        <v>7.07</v>
      </c>
      <c r="Z59">
        <v>0</v>
      </c>
      <c r="AA59">
        <v>0</v>
      </c>
      <c r="AB59">
        <v>0</v>
      </c>
      <c r="AC59">
        <v>0</v>
      </c>
      <c r="AD59">
        <v>1</v>
      </c>
      <c r="AE59">
        <v>0</v>
      </c>
      <c r="AF59" t="s">
        <v>3</v>
      </c>
      <c r="AG59">
        <v>5</v>
      </c>
      <c r="AH59">
        <v>2</v>
      </c>
      <c r="AI59">
        <v>45748398</v>
      </c>
      <c r="AJ59">
        <v>59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x14ac:dyDescent="0.2">
      <c r="A60">
        <f>ROW(Source!A94)</f>
        <v>94</v>
      </c>
      <c r="B60">
        <v>45748399</v>
      </c>
      <c r="C60">
        <v>45748318</v>
      </c>
      <c r="D60">
        <v>24872210</v>
      </c>
      <c r="E60">
        <v>24859158</v>
      </c>
      <c r="F60">
        <v>1</v>
      </c>
      <c r="G60">
        <v>24859158</v>
      </c>
      <c r="H60">
        <v>3</v>
      </c>
      <c r="I60" t="s">
        <v>335</v>
      </c>
      <c r="J60" t="s">
        <v>3</v>
      </c>
      <c r="K60" t="s">
        <v>336</v>
      </c>
      <c r="L60">
        <v>1339</v>
      </c>
      <c r="N60">
        <v>1007</v>
      </c>
      <c r="O60" t="s">
        <v>150</v>
      </c>
      <c r="P60" t="s">
        <v>150</v>
      </c>
      <c r="Q60">
        <v>1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 t="s">
        <v>3</v>
      </c>
      <c r="AG60">
        <v>0</v>
      </c>
      <c r="AH60">
        <v>3</v>
      </c>
      <c r="AI60">
        <v>-1</v>
      </c>
      <c r="AJ60" t="s">
        <v>3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x14ac:dyDescent="0.2">
      <c r="A61">
        <f>ROW(Source!A97)</f>
        <v>97</v>
      </c>
      <c r="B61">
        <v>45748343</v>
      </c>
      <c r="C61">
        <v>45748336</v>
      </c>
      <c r="D61">
        <v>24859163</v>
      </c>
      <c r="E61">
        <v>24859158</v>
      </c>
      <c r="F61">
        <v>1</v>
      </c>
      <c r="G61">
        <v>24859158</v>
      </c>
      <c r="H61">
        <v>1</v>
      </c>
      <c r="I61" t="s">
        <v>263</v>
      </c>
      <c r="J61" t="s">
        <v>3</v>
      </c>
      <c r="K61" t="s">
        <v>264</v>
      </c>
      <c r="L61">
        <v>1191</v>
      </c>
      <c r="N61">
        <v>1013</v>
      </c>
      <c r="O61" t="s">
        <v>265</v>
      </c>
      <c r="P61" t="s">
        <v>265</v>
      </c>
      <c r="Q61">
        <v>1</v>
      </c>
      <c r="X61">
        <v>100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1</v>
      </c>
      <c r="AE61">
        <v>1</v>
      </c>
      <c r="AF61" t="s">
        <v>3</v>
      </c>
      <c r="AG61">
        <v>100</v>
      </c>
      <c r="AH61">
        <v>2</v>
      </c>
      <c r="AI61">
        <v>45748337</v>
      </c>
      <c r="AJ61">
        <v>61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 x14ac:dyDescent="0.2">
      <c r="A62">
        <f>ROW(Source!A97)</f>
        <v>97</v>
      </c>
      <c r="B62">
        <v>45748344</v>
      </c>
      <c r="C62">
        <v>45748336</v>
      </c>
      <c r="D62">
        <v>24931633</v>
      </c>
      <c r="E62">
        <v>1</v>
      </c>
      <c r="F62">
        <v>1</v>
      </c>
      <c r="G62">
        <v>24859158</v>
      </c>
      <c r="H62">
        <v>2</v>
      </c>
      <c r="I62" t="s">
        <v>303</v>
      </c>
      <c r="J62" t="s">
        <v>304</v>
      </c>
      <c r="K62" t="s">
        <v>305</v>
      </c>
      <c r="L62">
        <v>1367</v>
      </c>
      <c r="N62">
        <v>1011</v>
      </c>
      <c r="O62" t="s">
        <v>269</v>
      </c>
      <c r="P62" t="s">
        <v>269</v>
      </c>
      <c r="Q62">
        <v>1</v>
      </c>
      <c r="X62">
        <v>0.61</v>
      </c>
      <c r="Y62">
        <v>0</v>
      </c>
      <c r="Z62">
        <v>190.93</v>
      </c>
      <c r="AA62">
        <v>18.149999999999999</v>
      </c>
      <c r="AB62">
        <v>0</v>
      </c>
      <c r="AC62">
        <v>0</v>
      </c>
      <c r="AD62">
        <v>1</v>
      </c>
      <c r="AE62">
        <v>0</v>
      </c>
      <c r="AF62" t="s">
        <v>3</v>
      </c>
      <c r="AG62">
        <v>0.61</v>
      </c>
      <c r="AH62">
        <v>2</v>
      </c>
      <c r="AI62">
        <v>45748338</v>
      </c>
      <c r="AJ62">
        <v>62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 x14ac:dyDescent="0.2">
      <c r="A63">
        <f>ROW(Source!A97)</f>
        <v>97</v>
      </c>
      <c r="B63">
        <v>45748345</v>
      </c>
      <c r="C63">
        <v>45748336</v>
      </c>
      <c r="D63">
        <v>24925869</v>
      </c>
      <c r="E63">
        <v>1</v>
      </c>
      <c r="F63">
        <v>1</v>
      </c>
      <c r="G63">
        <v>24859158</v>
      </c>
      <c r="H63">
        <v>3</v>
      </c>
      <c r="I63" t="s">
        <v>306</v>
      </c>
      <c r="J63" t="s">
        <v>307</v>
      </c>
      <c r="K63" t="s">
        <v>308</v>
      </c>
      <c r="L63">
        <v>1339</v>
      </c>
      <c r="N63">
        <v>1007</v>
      </c>
      <c r="O63" t="s">
        <v>150</v>
      </c>
      <c r="P63" t="s">
        <v>150</v>
      </c>
      <c r="Q63">
        <v>1</v>
      </c>
      <c r="X63">
        <v>5.9</v>
      </c>
      <c r="Y63">
        <v>704.89</v>
      </c>
      <c r="Z63">
        <v>0</v>
      </c>
      <c r="AA63">
        <v>0</v>
      </c>
      <c r="AB63">
        <v>0</v>
      </c>
      <c r="AC63">
        <v>0</v>
      </c>
      <c r="AD63">
        <v>1</v>
      </c>
      <c r="AE63">
        <v>0</v>
      </c>
      <c r="AF63" t="s">
        <v>3</v>
      </c>
      <c r="AG63">
        <v>5.9</v>
      </c>
      <c r="AH63">
        <v>2</v>
      </c>
      <c r="AI63">
        <v>45748340</v>
      </c>
      <c r="AJ63">
        <v>64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x14ac:dyDescent="0.2">
      <c r="A64">
        <f>ROW(Source!A97)</f>
        <v>97</v>
      </c>
      <c r="B64">
        <v>45748346</v>
      </c>
      <c r="C64">
        <v>45748336</v>
      </c>
      <c r="D64">
        <v>24926003</v>
      </c>
      <c r="E64">
        <v>1</v>
      </c>
      <c r="F64">
        <v>1</v>
      </c>
      <c r="G64">
        <v>24859158</v>
      </c>
      <c r="H64">
        <v>3</v>
      </c>
      <c r="I64" t="s">
        <v>309</v>
      </c>
      <c r="J64" t="s">
        <v>310</v>
      </c>
      <c r="K64" t="s">
        <v>311</v>
      </c>
      <c r="L64">
        <v>1339</v>
      </c>
      <c r="N64">
        <v>1007</v>
      </c>
      <c r="O64" t="s">
        <v>150</v>
      </c>
      <c r="P64" t="s">
        <v>150</v>
      </c>
      <c r="Q64">
        <v>1</v>
      </c>
      <c r="X64">
        <v>0.06</v>
      </c>
      <c r="Y64">
        <v>451.14</v>
      </c>
      <c r="Z64">
        <v>0</v>
      </c>
      <c r="AA64">
        <v>0</v>
      </c>
      <c r="AB64">
        <v>0</v>
      </c>
      <c r="AC64">
        <v>0</v>
      </c>
      <c r="AD64">
        <v>1</v>
      </c>
      <c r="AE64">
        <v>0</v>
      </c>
      <c r="AF64" t="s">
        <v>3</v>
      </c>
      <c r="AG64">
        <v>0.06</v>
      </c>
      <c r="AH64">
        <v>2</v>
      </c>
      <c r="AI64">
        <v>45748341</v>
      </c>
      <c r="AJ64">
        <v>65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x14ac:dyDescent="0.2">
      <c r="A65">
        <f>ROW(Source!A97)</f>
        <v>97</v>
      </c>
      <c r="B65">
        <v>45748347</v>
      </c>
      <c r="C65">
        <v>45748336</v>
      </c>
      <c r="D65">
        <v>24874031</v>
      </c>
      <c r="E65">
        <v>24859158</v>
      </c>
      <c r="F65">
        <v>1</v>
      </c>
      <c r="G65">
        <v>24859158</v>
      </c>
      <c r="H65">
        <v>3</v>
      </c>
      <c r="I65" t="s">
        <v>337</v>
      </c>
      <c r="J65" t="s">
        <v>3</v>
      </c>
      <c r="K65" t="s">
        <v>338</v>
      </c>
      <c r="L65">
        <v>1301</v>
      </c>
      <c r="N65">
        <v>1003</v>
      </c>
      <c r="O65" t="s">
        <v>162</v>
      </c>
      <c r="P65" t="s">
        <v>162</v>
      </c>
      <c r="Q65">
        <v>1</v>
      </c>
      <c r="X65">
        <v>100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 t="s">
        <v>3</v>
      </c>
      <c r="AG65">
        <v>100</v>
      </c>
      <c r="AH65">
        <v>3</v>
      </c>
      <c r="AI65">
        <v>-1</v>
      </c>
      <c r="AJ65" t="s">
        <v>3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x14ac:dyDescent="0.2">
      <c r="A66">
        <f>ROW(Source!A97)</f>
        <v>97</v>
      </c>
      <c r="B66">
        <v>45748348</v>
      </c>
      <c r="C66">
        <v>45748336</v>
      </c>
      <c r="D66">
        <v>24881026</v>
      </c>
      <c r="E66">
        <v>24859158</v>
      </c>
      <c r="F66">
        <v>1</v>
      </c>
      <c r="G66">
        <v>24859158</v>
      </c>
      <c r="H66">
        <v>3</v>
      </c>
      <c r="I66" t="s">
        <v>312</v>
      </c>
      <c r="J66" t="s">
        <v>3</v>
      </c>
      <c r="K66" t="s">
        <v>313</v>
      </c>
      <c r="L66">
        <v>1344</v>
      </c>
      <c r="N66">
        <v>1008</v>
      </c>
      <c r="O66" t="s">
        <v>278</v>
      </c>
      <c r="P66" t="s">
        <v>278</v>
      </c>
      <c r="Q66">
        <v>1</v>
      </c>
      <c r="X66">
        <v>116.34</v>
      </c>
      <c r="Y66">
        <v>1</v>
      </c>
      <c r="Z66">
        <v>0</v>
      </c>
      <c r="AA66">
        <v>0</v>
      </c>
      <c r="AB66">
        <v>0</v>
      </c>
      <c r="AC66">
        <v>0</v>
      </c>
      <c r="AD66">
        <v>1</v>
      </c>
      <c r="AE66">
        <v>0</v>
      </c>
      <c r="AF66" t="s">
        <v>3</v>
      </c>
      <c r="AG66">
        <v>116.34</v>
      </c>
      <c r="AH66">
        <v>2</v>
      </c>
      <c r="AI66">
        <v>45748342</v>
      </c>
      <c r="AJ66">
        <v>66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 x14ac:dyDescent="0.2">
      <c r="A67">
        <f>ROW(Source!A98)</f>
        <v>98</v>
      </c>
      <c r="B67">
        <v>45748343</v>
      </c>
      <c r="C67">
        <v>45748336</v>
      </c>
      <c r="D67">
        <v>24859163</v>
      </c>
      <c r="E67">
        <v>24859158</v>
      </c>
      <c r="F67">
        <v>1</v>
      </c>
      <c r="G67">
        <v>24859158</v>
      </c>
      <c r="H67">
        <v>1</v>
      </c>
      <c r="I67" t="s">
        <v>263</v>
      </c>
      <c r="J67" t="s">
        <v>3</v>
      </c>
      <c r="K67" t="s">
        <v>264</v>
      </c>
      <c r="L67">
        <v>1191</v>
      </c>
      <c r="N67">
        <v>1013</v>
      </c>
      <c r="O67" t="s">
        <v>265</v>
      </c>
      <c r="P67" t="s">
        <v>265</v>
      </c>
      <c r="Q67">
        <v>1</v>
      </c>
      <c r="X67">
        <v>100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1</v>
      </c>
      <c r="AE67">
        <v>1</v>
      </c>
      <c r="AF67" t="s">
        <v>3</v>
      </c>
      <c r="AG67">
        <v>100</v>
      </c>
      <c r="AH67">
        <v>2</v>
      </c>
      <c r="AI67">
        <v>45748337</v>
      </c>
      <c r="AJ67">
        <v>67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x14ac:dyDescent="0.2">
      <c r="A68">
        <f>ROW(Source!A98)</f>
        <v>98</v>
      </c>
      <c r="B68">
        <v>45748344</v>
      </c>
      <c r="C68">
        <v>45748336</v>
      </c>
      <c r="D68">
        <v>24931633</v>
      </c>
      <c r="E68">
        <v>1</v>
      </c>
      <c r="F68">
        <v>1</v>
      </c>
      <c r="G68">
        <v>24859158</v>
      </c>
      <c r="H68">
        <v>2</v>
      </c>
      <c r="I68" t="s">
        <v>303</v>
      </c>
      <c r="J68" t="s">
        <v>304</v>
      </c>
      <c r="K68" t="s">
        <v>305</v>
      </c>
      <c r="L68">
        <v>1367</v>
      </c>
      <c r="N68">
        <v>1011</v>
      </c>
      <c r="O68" t="s">
        <v>269</v>
      </c>
      <c r="P68" t="s">
        <v>269</v>
      </c>
      <c r="Q68">
        <v>1</v>
      </c>
      <c r="X68">
        <v>0.61</v>
      </c>
      <c r="Y68">
        <v>0</v>
      </c>
      <c r="Z68">
        <v>190.93</v>
      </c>
      <c r="AA68">
        <v>18.149999999999999</v>
      </c>
      <c r="AB68">
        <v>0</v>
      </c>
      <c r="AC68">
        <v>0</v>
      </c>
      <c r="AD68">
        <v>1</v>
      </c>
      <c r="AE68">
        <v>0</v>
      </c>
      <c r="AF68" t="s">
        <v>3</v>
      </c>
      <c r="AG68">
        <v>0.61</v>
      </c>
      <c r="AH68">
        <v>2</v>
      </c>
      <c r="AI68">
        <v>45748338</v>
      </c>
      <c r="AJ68">
        <v>68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x14ac:dyDescent="0.2">
      <c r="A69">
        <f>ROW(Source!A98)</f>
        <v>98</v>
      </c>
      <c r="B69">
        <v>45748345</v>
      </c>
      <c r="C69">
        <v>45748336</v>
      </c>
      <c r="D69">
        <v>24925869</v>
      </c>
      <c r="E69">
        <v>1</v>
      </c>
      <c r="F69">
        <v>1</v>
      </c>
      <c r="G69">
        <v>24859158</v>
      </c>
      <c r="H69">
        <v>3</v>
      </c>
      <c r="I69" t="s">
        <v>306</v>
      </c>
      <c r="J69" t="s">
        <v>307</v>
      </c>
      <c r="K69" t="s">
        <v>308</v>
      </c>
      <c r="L69">
        <v>1339</v>
      </c>
      <c r="N69">
        <v>1007</v>
      </c>
      <c r="O69" t="s">
        <v>150</v>
      </c>
      <c r="P69" t="s">
        <v>150</v>
      </c>
      <c r="Q69">
        <v>1</v>
      </c>
      <c r="X69">
        <v>5.9</v>
      </c>
      <c r="Y69">
        <v>704.89</v>
      </c>
      <c r="Z69">
        <v>0</v>
      </c>
      <c r="AA69">
        <v>0</v>
      </c>
      <c r="AB69">
        <v>0</v>
      </c>
      <c r="AC69">
        <v>0</v>
      </c>
      <c r="AD69">
        <v>1</v>
      </c>
      <c r="AE69">
        <v>0</v>
      </c>
      <c r="AF69" t="s">
        <v>3</v>
      </c>
      <c r="AG69">
        <v>5.9</v>
      </c>
      <c r="AH69">
        <v>2</v>
      </c>
      <c r="AI69">
        <v>45748340</v>
      </c>
      <c r="AJ69">
        <v>70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x14ac:dyDescent="0.2">
      <c r="A70">
        <f>ROW(Source!A98)</f>
        <v>98</v>
      </c>
      <c r="B70">
        <v>45748346</v>
      </c>
      <c r="C70">
        <v>45748336</v>
      </c>
      <c r="D70">
        <v>24926003</v>
      </c>
      <c r="E70">
        <v>1</v>
      </c>
      <c r="F70">
        <v>1</v>
      </c>
      <c r="G70">
        <v>24859158</v>
      </c>
      <c r="H70">
        <v>3</v>
      </c>
      <c r="I70" t="s">
        <v>309</v>
      </c>
      <c r="J70" t="s">
        <v>310</v>
      </c>
      <c r="K70" t="s">
        <v>311</v>
      </c>
      <c r="L70">
        <v>1339</v>
      </c>
      <c r="N70">
        <v>1007</v>
      </c>
      <c r="O70" t="s">
        <v>150</v>
      </c>
      <c r="P70" t="s">
        <v>150</v>
      </c>
      <c r="Q70">
        <v>1</v>
      </c>
      <c r="X70">
        <v>0.06</v>
      </c>
      <c r="Y70">
        <v>451.14</v>
      </c>
      <c r="Z70">
        <v>0</v>
      </c>
      <c r="AA70">
        <v>0</v>
      </c>
      <c r="AB70">
        <v>0</v>
      </c>
      <c r="AC70">
        <v>0</v>
      </c>
      <c r="AD70">
        <v>1</v>
      </c>
      <c r="AE70">
        <v>0</v>
      </c>
      <c r="AF70" t="s">
        <v>3</v>
      </c>
      <c r="AG70">
        <v>0.06</v>
      </c>
      <c r="AH70">
        <v>2</v>
      </c>
      <c r="AI70">
        <v>45748341</v>
      </c>
      <c r="AJ70">
        <v>71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 x14ac:dyDescent="0.2">
      <c r="A71">
        <f>ROW(Source!A98)</f>
        <v>98</v>
      </c>
      <c r="B71">
        <v>45748347</v>
      </c>
      <c r="C71">
        <v>45748336</v>
      </c>
      <c r="D71">
        <v>24874031</v>
      </c>
      <c r="E71">
        <v>24859158</v>
      </c>
      <c r="F71">
        <v>1</v>
      </c>
      <c r="G71">
        <v>24859158</v>
      </c>
      <c r="H71">
        <v>3</v>
      </c>
      <c r="I71" t="s">
        <v>337</v>
      </c>
      <c r="J71" t="s">
        <v>3</v>
      </c>
      <c r="K71" t="s">
        <v>338</v>
      </c>
      <c r="L71">
        <v>1301</v>
      </c>
      <c r="N71">
        <v>1003</v>
      </c>
      <c r="O71" t="s">
        <v>162</v>
      </c>
      <c r="P71" t="s">
        <v>162</v>
      </c>
      <c r="Q71">
        <v>1</v>
      </c>
      <c r="X71">
        <v>100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 t="s">
        <v>3</v>
      </c>
      <c r="AG71">
        <v>100</v>
      </c>
      <c r="AH71">
        <v>3</v>
      </c>
      <c r="AI71">
        <v>-1</v>
      </c>
      <c r="AJ71" t="s">
        <v>3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x14ac:dyDescent="0.2">
      <c r="A72">
        <f>ROW(Source!A98)</f>
        <v>98</v>
      </c>
      <c r="B72">
        <v>45748348</v>
      </c>
      <c r="C72">
        <v>45748336</v>
      </c>
      <c r="D72">
        <v>24881026</v>
      </c>
      <c r="E72">
        <v>24859158</v>
      </c>
      <c r="F72">
        <v>1</v>
      </c>
      <c r="G72">
        <v>24859158</v>
      </c>
      <c r="H72">
        <v>3</v>
      </c>
      <c r="I72" t="s">
        <v>312</v>
      </c>
      <c r="J72" t="s">
        <v>3</v>
      </c>
      <c r="K72" t="s">
        <v>313</v>
      </c>
      <c r="L72">
        <v>1344</v>
      </c>
      <c r="N72">
        <v>1008</v>
      </c>
      <c r="O72" t="s">
        <v>278</v>
      </c>
      <c r="P72" t="s">
        <v>278</v>
      </c>
      <c r="Q72">
        <v>1</v>
      </c>
      <c r="X72">
        <v>116.34</v>
      </c>
      <c r="Y72">
        <v>1</v>
      </c>
      <c r="Z72">
        <v>0</v>
      </c>
      <c r="AA72">
        <v>0</v>
      </c>
      <c r="AB72">
        <v>0</v>
      </c>
      <c r="AC72">
        <v>0</v>
      </c>
      <c r="AD72">
        <v>1</v>
      </c>
      <c r="AE72">
        <v>0</v>
      </c>
      <c r="AF72" t="s">
        <v>3</v>
      </c>
      <c r="AG72">
        <v>116.34</v>
      </c>
      <c r="AH72">
        <v>2</v>
      </c>
      <c r="AI72">
        <v>45748342</v>
      </c>
      <c r="AJ72">
        <v>72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x14ac:dyDescent="0.2">
      <c r="A73">
        <f>ROW(Source!A101)</f>
        <v>101</v>
      </c>
      <c r="B73">
        <v>45748433</v>
      </c>
      <c r="C73">
        <v>45748432</v>
      </c>
      <c r="D73">
        <v>24859163</v>
      </c>
      <c r="E73">
        <v>24859158</v>
      </c>
      <c r="F73">
        <v>1</v>
      </c>
      <c r="G73">
        <v>24859158</v>
      </c>
      <c r="H73">
        <v>1</v>
      </c>
      <c r="I73" t="s">
        <v>263</v>
      </c>
      <c r="J73" t="s">
        <v>3</v>
      </c>
      <c r="K73" t="s">
        <v>264</v>
      </c>
      <c r="L73">
        <v>1191</v>
      </c>
      <c r="N73">
        <v>1013</v>
      </c>
      <c r="O73" t="s">
        <v>265</v>
      </c>
      <c r="P73" t="s">
        <v>265</v>
      </c>
      <c r="Q73">
        <v>1</v>
      </c>
      <c r="X73">
        <v>393</v>
      </c>
      <c r="Y73">
        <v>0</v>
      </c>
      <c r="Z73">
        <v>0</v>
      </c>
      <c r="AA73">
        <v>0</v>
      </c>
      <c r="AB73">
        <v>0</v>
      </c>
      <c r="AC73">
        <v>0</v>
      </c>
      <c r="AD73">
        <v>1</v>
      </c>
      <c r="AE73">
        <v>1</v>
      </c>
      <c r="AF73" t="s">
        <v>3</v>
      </c>
      <c r="AG73">
        <v>393</v>
      </c>
      <c r="AH73">
        <v>2</v>
      </c>
      <c r="AI73">
        <v>45748433</v>
      </c>
      <c r="AJ73">
        <v>73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x14ac:dyDescent="0.2">
      <c r="A74">
        <f>ROW(Source!A101)</f>
        <v>101</v>
      </c>
      <c r="B74">
        <v>45748434</v>
      </c>
      <c r="C74">
        <v>45748432</v>
      </c>
      <c r="D74">
        <v>24931726</v>
      </c>
      <c r="E74">
        <v>1</v>
      </c>
      <c r="F74">
        <v>1</v>
      </c>
      <c r="G74">
        <v>24859158</v>
      </c>
      <c r="H74">
        <v>2</v>
      </c>
      <c r="I74" t="s">
        <v>314</v>
      </c>
      <c r="J74" t="s">
        <v>315</v>
      </c>
      <c r="K74" t="s">
        <v>316</v>
      </c>
      <c r="L74">
        <v>1367</v>
      </c>
      <c r="N74">
        <v>1011</v>
      </c>
      <c r="O74" t="s">
        <v>269</v>
      </c>
      <c r="P74" t="s">
        <v>269</v>
      </c>
      <c r="Q74">
        <v>1</v>
      </c>
      <c r="X74">
        <v>1.05</v>
      </c>
      <c r="Y74">
        <v>0</v>
      </c>
      <c r="Z74">
        <v>73</v>
      </c>
      <c r="AA74">
        <v>16.899999999999999</v>
      </c>
      <c r="AB74">
        <v>0</v>
      </c>
      <c r="AC74">
        <v>0</v>
      </c>
      <c r="AD74">
        <v>1</v>
      </c>
      <c r="AE74">
        <v>0</v>
      </c>
      <c r="AF74" t="s">
        <v>3</v>
      </c>
      <c r="AG74">
        <v>1.05</v>
      </c>
      <c r="AH74">
        <v>2</v>
      </c>
      <c r="AI74">
        <v>45748434</v>
      </c>
      <c r="AJ74">
        <v>74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x14ac:dyDescent="0.2">
      <c r="A75">
        <f>ROW(Source!A101)</f>
        <v>101</v>
      </c>
      <c r="B75">
        <v>45748435</v>
      </c>
      <c r="C75">
        <v>45748432</v>
      </c>
      <c r="D75">
        <v>24931812</v>
      </c>
      <c r="E75">
        <v>1</v>
      </c>
      <c r="F75">
        <v>1</v>
      </c>
      <c r="G75">
        <v>24859158</v>
      </c>
      <c r="H75">
        <v>2</v>
      </c>
      <c r="I75" t="s">
        <v>294</v>
      </c>
      <c r="J75" t="s">
        <v>295</v>
      </c>
      <c r="K75" t="s">
        <v>296</v>
      </c>
      <c r="L75">
        <v>1367</v>
      </c>
      <c r="N75">
        <v>1011</v>
      </c>
      <c r="O75" t="s">
        <v>269</v>
      </c>
      <c r="P75" t="s">
        <v>269</v>
      </c>
      <c r="Q75">
        <v>1</v>
      </c>
      <c r="X75">
        <v>1.32</v>
      </c>
      <c r="Y75">
        <v>0</v>
      </c>
      <c r="Z75">
        <v>246.68</v>
      </c>
      <c r="AA75">
        <v>13.37</v>
      </c>
      <c r="AB75">
        <v>0</v>
      </c>
      <c r="AC75">
        <v>0</v>
      </c>
      <c r="AD75">
        <v>1</v>
      </c>
      <c r="AE75">
        <v>0</v>
      </c>
      <c r="AF75" t="s">
        <v>3</v>
      </c>
      <c r="AG75">
        <v>1.32</v>
      </c>
      <c r="AH75">
        <v>2</v>
      </c>
      <c r="AI75">
        <v>45748435</v>
      </c>
      <c r="AJ75">
        <v>75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x14ac:dyDescent="0.2">
      <c r="A76">
        <f>ROW(Source!A101)</f>
        <v>101</v>
      </c>
      <c r="B76">
        <v>45748436</v>
      </c>
      <c r="C76">
        <v>45748432</v>
      </c>
      <c r="D76">
        <v>24872674</v>
      </c>
      <c r="E76">
        <v>24859158</v>
      </c>
      <c r="F76">
        <v>1</v>
      </c>
      <c r="G76">
        <v>24859158</v>
      </c>
      <c r="H76">
        <v>3</v>
      </c>
      <c r="I76" t="s">
        <v>339</v>
      </c>
      <c r="J76" t="s">
        <v>3</v>
      </c>
      <c r="K76" t="s">
        <v>340</v>
      </c>
      <c r="L76">
        <v>1327</v>
      </c>
      <c r="N76">
        <v>1005</v>
      </c>
      <c r="O76" t="s">
        <v>17</v>
      </c>
      <c r="P76" t="s">
        <v>17</v>
      </c>
      <c r="Q76">
        <v>1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 t="s">
        <v>3</v>
      </c>
      <c r="AG76">
        <v>0</v>
      </c>
      <c r="AH76">
        <v>3</v>
      </c>
      <c r="AI76">
        <v>-1</v>
      </c>
      <c r="AJ76" t="s">
        <v>3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x14ac:dyDescent="0.2">
      <c r="A77">
        <f>ROW(Source!A101)</f>
        <v>101</v>
      </c>
      <c r="B77">
        <v>45748437</v>
      </c>
      <c r="C77">
        <v>45748432</v>
      </c>
      <c r="D77">
        <v>24876934</v>
      </c>
      <c r="E77">
        <v>24859158</v>
      </c>
      <c r="F77">
        <v>1</v>
      </c>
      <c r="G77">
        <v>24859158</v>
      </c>
      <c r="H77">
        <v>3</v>
      </c>
      <c r="I77" t="s">
        <v>341</v>
      </c>
      <c r="J77" t="s">
        <v>3</v>
      </c>
      <c r="K77" t="s">
        <v>342</v>
      </c>
      <c r="L77">
        <v>1348</v>
      </c>
      <c r="N77">
        <v>1009</v>
      </c>
      <c r="O77" t="s">
        <v>44</v>
      </c>
      <c r="P77" t="s">
        <v>44</v>
      </c>
      <c r="Q77">
        <v>1000</v>
      </c>
      <c r="X77">
        <v>10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 t="s">
        <v>3</v>
      </c>
      <c r="AG77">
        <v>10</v>
      </c>
      <c r="AH77">
        <v>3</v>
      </c>
      <c r="AI77">
        <v>-1</v>
      </c>
      <c r="AJ77" t="s">
        <v>3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x14ac:dyDescent="0.2">
      <c r="A78">
        <f>ROW(Source!A101)</f>
        <v>101</v>
      </c>
      <c r="B78">
        <v>45748438</v>
      </c>
      <c r="C78">
        <v>45748432</v>
      </c>
      <c r="D78">
        <v>24881026</v>
      </c>
      <c r="E78">
        <v>24859158</v>
      </c>
      <c r="F78">
        <v>1</v>
      </c>
      <c r="G78">
        <v>24859158</v>
      </c>
      <c r="H78">
        <v>3</v>
      </c>
      <c r="I78" t="s">
        <v>312</v>
      </c>
      <c r="J78" t="s">
        <v>3</v>
      </c>
      <c r="K78" t="s">
        <v>313</v>
      </c>
      <c r="L78">
        <v>1344</v>
      </c>
      <c r="N78">
        <v>1008</v>
      </c>
      <c r="O78" t="s">
        <v>278</v>
      </c>
      <c r="P78" t="s">
        <v>278</v>
      </c>
      <c r="Q78">
        <v>1</v>
      </c>
      <c r="X78">
        <v>3</v>
      </c>
      <c r="Y78">
        <v>1</v>
      </c>
      <c r="Z78">
        <v>0</v>
      </c>
      <c r="AA78">
        <v>0</v>
      </c>
      <c r="AB78">
        <v>0</v>
      </c>
      <c r="AC78">
        <v>0</v>
      </c>
      <c r="AD78">
        <v>1</v>
      </c>
      <c r="AE78">
        <v>0</v>
      </c>
      <c r="AF78" t="s">
        <v>3</v>
      </c>
      <c r="AG78">
        <v>3</v>
      </c>
      <c r="AH78">
        <v>2</v>
      </c>
      <c r="AI78">
        <v>45748438</v>
      </c>
      <c r="AJ78">
        <v>78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x14ac:dyDescent="0.2">
      <c r="A79">
        <f>ROW(Source!A102)</f>
        <v>102</v>
      </c>
      <c r="B79">
        <v>45748433</v>
      </c>
      <c r="C79">
        <v>45748432</v>
      </c>
      <c r="D79">
        <v>24859163</v>
      </c>
      <c r="E79">
        <v>24859158</v>
      </c>
      <c r="F79">
        <v>1</v>
      </c>
      <c r="G79">
        <v>24859158</v>
      </c>
      <c r="H79">
        <v>1</v>
      </c>
      <c r="I79" t="s">
        <v>263</v>
      </c>
      <c r="J79" t="s">
        <v>3</v>
      </c>
      <c r="K79" t="s">
        <v>264</v>
      </c>
      <c r="L79">
        <v>1191</v>
      </c>
      <c r="N79">
        <v>1013</v>
      </c>
      <c r="O79" t="s">
        <v>265</v>
      </c>
      <c r="P79" t="s">
        <v>265</v>
      </c>
      <c r="Q79">
        <v>1</v>
      </c>
      <c r="X79">
        <v>393</v>
      </c>
      <c r="Y79">
        <v>0</v>
      </c>
      <c r="Z79">
        <v>0</v>
      </c>
      <c r="AA79">
        <v>0</v>
      </c>
      <c r="AB79">
        <v>0</v>
      </c>
      <c r="AC79">
        <v>0</v>
      </c>
      <c r="AD79">
        <v>1</v>
      </c>
      <c r="AE79">
        <v>1</v>
      </c>
      <c r="AF79" t="s">
        <v>3</v>
      </c>
      <c r="AG79">
        <v>393</v>
      </c>
      <c r="AH79">
        <v>2</v>
      </c>
      <c r="AI79">
        <v>45748433</v>
      </c>
      <c r="AJ79">
        <v>79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x14ac:dyDescent="0.2">
      <c r="A80">
        <f>ROW(Source!A102)</f>
        <v>102</v>
      </c>
      <c r="B80">
        <v>45748434</v>
      </c>
      <c r="C80">
        <v>45748432</v>
      </c>
      <c r="D80">
        <v>24931726</v>
      </c>
      <c r="E80">
        <v>1</v>
      </c>
      <c r="F80">
        <v>1</v>
      </c>
      <c r="G80">
        <v>24859158</v>
      </c>
      <c r="H80">
        <v>2</v>
      </c>
      <c r="I80" t="s">
        <v>314</v>
      </c>
      <c r="J80" t="s">
        <v>315</v>
      </c>
      <c r="K80" t="s">
        <v>316</v>
      </c>
      <c r="L80">
        <v>1367</v>
      </c>
      <c r="N80">
        <v>1011</v>
      </c>
      <c r="O80" t="s">
        <v>269</v>
      </c>
      <c r="P80" t="s">
        <v>269</v>
      </c>
      <c r="Q80">
        <v>1</v>
      </c>
      <c r="X80">
        <v>1.05</v>
      </c>
      <c r="Y80">
        <v>0</v>
      </c>
      <c r="Z80">
        <v>73</v>
      </c>
      <c r="AA80">
        <v>16.899999999999999</v>
      </c>
      <c r="AB80">
        <v>0</v>
      </c>
      <c r="AC80">
        <v>0</v>
      </c>
      <c r="AD80">
        <v>1</v>
      </c>
      <c r="AE80">
        <v>0</v>
      </c>
      <c r="AF80" t="s">
        <v>3</v>
      </c>
      <c r="AG80">
        <v>1.05</v>
      </c>
      <c r="AH80">
        <v>2</v>
      </c>
      <c r="AI80">
        <v>45748434</v>
      </c>
      <c r="AJ80">
        <v>80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x14ac:dyDescent="0.2">
      <c r="A81">
        <f>ROW(Source!A102)</f>
        <v>102</v>
      </c>
      <c r="B81">
        <v>45748435</v>
      </c>
      <c r="C81">
        <v>45748432</v>
      </c>
      <c r="D81">
        <v>24931812</v>
      </c>
      <c r="E81">
        <v>1</v>
      </c>
      <c r="F81">
        <v>1</v>
      </c>
      <c r="G81">
        <v>24859158</v>
      </c>
      <c r="H81">
        <v>2</v>
      </c>
      <c r="I81" t="s">
        <v>294</v>
      </c>
      <c r="J81" t="s">
        <v>295</v>
      </c>
      <c r="K81" t="s">
        <v>296</v>
      </c>
      <c r="L81">
        <v>1367</v>
      </c>
      <c r="N81">
        <v>1011</v>
      </c>
      <c r="O81" t="s">
        <v>269</v>
      </c>
      <c r="P81" t="s">
        <v>269</v>
      </c>
      <c r="Q81">
        <v>1</v>
      </c>
      <c r="X81">
        <v>1.32</v>
      </c>
      <c r="Y81">
        <v>0</v>
      </c>
      <c r="Z81">
        <v>246.68</v>
      </c>
      <c r="AA81">
        <v>13.37</v>
      </c>
      <c r="AB81">
        <v>0</v>
      </c>
      <c r="AC81">
        <v>0</v>
      </c>
      <c r="AD81">
        <v>1</v>
      </c>
      <c r="AE81">
        <v>0</v>
      </c>
      <c r="AF81" t="s">
        <v>3</v>
      </c>
      <c r="AG81">
        <v>1.32</v>
      </c>
      <c r="AH81">
        <v>2</v>
      </c>
      <c r="AI81">
        <v>45748435</v>
      </c>
      <c r="AJ81">
        <v>81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x14ac:dyDescent="0.2">
      <c r="A82">
        <f>ROW(Source!A102)</f>
        <v>102</v>
      </c>
      <c r="B82">
        <v>45748436</v>
      </c>
      <c r="C82">
        <v>45748432</v>
      </c>
      <c r="D82">
        <v>24872674</v>
      </c>
      <c r="E82">
        <v>24859158</v>
      </c>
      <c r="F82">
        <v>1</v>
      </c>
      <c r="G82">
        <v>24859158</v>
      </c>
      <c r="H82">
        <v>3</v>
      </c>
      <c r="I82" t="s">
        <v>339</v>
      </c>
      <c r="J82" t="s">
        <v>3</v>
      </c>
      <c r="K82" t="s">
        <v>340</v>
      </c>
      <c r="L82">
        <v>1327</v>
      </c>
      <c r="N82">
        <v>1005</v>
      </c>
      <c r="O82" t="s">
        <v>17</v>
      </c>
      <c r="P82" t="s">
        <v>17</v>
      </c>
      <c r="Q82">
        <v>1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 t="s">
        <v>3</v>
      </c>
      <c r="AG82">
        <v>0</v>
      </c>
      <c r="AH82">
        <v>3</v>
      </c>
      <c r="AI82">
        <v>-1</v>
      </c>
      <c r="AJ82" t="s">
        <v>3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x14ac:dyDescent="0.2">
      <c r="A83">
        <f>ROW(Source!A102)</f>
        <v>102</v>
      </c>
      <c r="B83">
        <v>45748437</v>
      </c>
      <c r="C83">
        <v>45748432</v>
      </c>
      <c r="D83">
        <v>24876934</v>
      </c>
      <c r="E83">
        <v>24859158</v>
      </c>
      <c r="F83">
        <v>1</v>
      </c>
      <c r="G83">
        <v>24859158</v>
      </c>
      <c r="H83">
        <v>3</v>
      </c>
      <c r="I83" t="s">
        <v>341</v>
      </c>
      <c r="J83" t="s">
        <v>3</v>
      </c>
      <c r="K83" t="s">
        <v>342</v>
      </c>
      <c r="L83">
        <v>1348</v>
      </c>
      <c r="N83">
        <v>1009</v>
      </c>
      <c r="O83" t="s">
        <v>44</v>
      </c>
      <c r="P83" t="s">
        <v>44</v>
      </c>
      <c r="Q83">
        <v>1000</v>
      </c>
      <c r="X83">
        <v>10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 t="s">
        <v>3</v>
      </c>
      <c r="AG83">
        <v>10</v>
      </c>
      <c r="AH83">
        <v>3</v>
      </c>
      <c r="AI83">
        <v>-1</v>
      </c>
      <c r="AJ83" t="s">
        <v>3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</row>
    <row r="84" spans="1:44" x14ac:dyDescent="0.2">
      <c r="A84">
        <f>ROW(Source!A102)</f>
        <v>102</v>
      </c>
      <c r="B84">
        <v>45748438</v>
      </c>
      <c r="C84">
        <v>45748432</v>
      </c>
      <c r="D84">
        <v>24881026</v>
      </c>
      <c r="E84">
        <v>24859158</v>
      </c>
      <c r="F84">
        <v>1</v>
      </c>
      <c r="G84">
        <v>24859158</v>
      </c>
      <c r="H84">
        <v>3</v>
      </c>
      <c r="I84" t="s">
        <v>312</v>
      </c>
      <c r="J84" t="s">
        <v>3</v>
      </c>
      <c r="K84" t="s">
        <v>313</v>
      </c>
      <c r="L84">
        <v>1344</v>
      </c>
      <c r="N84">
        <v>1008</v>
      </c>
      <c r="O84" t="s">
        <v>278</v>
      </c>
      <c r="P84" t="s">
        <v>278</v>
      </c>
      <c r="Q84">
        <v>1</v>
      </c>
      <c r="X84">
        <v>3</v>
      </c>
      <c r="Y84">
        <v>1</v>
      </c>
      <c r="Z84">
        <v>0</v>
      </c>
      <c r="AA84">
        <v>0</v>
      </c>
      <c r="AB84">
        <v>0</v>
      </c>
      <c r="AC84">
        <v>0</v>
      </c>
      <c r="AD84">
        <v>1</v>
      </c>
      <c r="AE84">
        <v>0</v>
      </c>
      <c r="AF84" t="s">
        <v>3</v>
      </c>
      <c r="AG84">
        <v>3</v>
      </c>
      <c r="AH84">
        <v>2</v>
      </c>
      <c r="AI84">
        <v>45748438</v>
      </c>
      <c r="AJ84">
        <v>84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  <row r="85" spans="1:44" x14ac:dyDescent="0.2">
      <c r="A85">
        <f>ROW(Source!A107)</f>
        <v>107</v>
      </c>
      <c r="B85">
        <v>45748442</v>
      </c>
      <c r="C85">
        <v>45748441</v>
      </c>
      <c r="D85">
        <v>24859163</v>
      </c>
      <c r="E85">
        <v>24859158</v>
      </c>
      <c r="F85">
        <v>1</v>
      </c>
      <c r="G85">
        <v>24859158</v>
      </c>
      <c r="H85">
        <v>1</v>
      </c>
      <c r="I85" t="s">
        <v>263</v>
      </c>
      <c r="J85" t="s">
        <v>3</v>
      </c>
      <c r="K85" t="s">
        <v>264</v>
      </c>
      <c r="L85">
        <v>1191</v>
      </c>
      <c r="N85">
        <v>1013</v>
      </c>
      <c r="O85" t="s">
        <v>265</v>
      </c>
      <c r="P85" t="s">
        <v>265</v>
      </c>
      <c r="Q85">
        <v>1</v>
      </c>
      <c r="X85">
        <v>32.9</v>
      </c>
      <c r="Y85">
        <v>0</v>
      </c>
      <c r="Z85">
        <v>0</v>
      </c>
      <c r="AA85">
        <v>0</v>
      </c>
      <c r="AB85">
        <v>0</v>
      </c>
      <c r="AC85">
        <v>0</v>
      </c>
      <c r="AD85">
        <v>1</v>
      </c>
      <c r="AE85">
        <v>1</v>
      </c>
      <c r="AF85" t="s">
        <v>3</v>
      </c>
      <c r="AG85">
        <v>32.9</v>
      </c>
      <c r="AH85">
        <v>2</v>
      </c>
      <c r="AI85">
        <v>45748442</v>
      </c>
      <c r="AJ85">
        <v>85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</row>
    <row r="86" spans="1:44" x14ac:dyDescent="0.2">
      <c r="A86">
        <f>ROW(Source!A107)</f>
        <v>107</v>
      </c>
      <c r="B86">
        <v>45748443</v>
      </c>
      <c r="C86">
        <v>45748441</v>
      </c>
      <c r="D86">
        <v>24932482</v>
      </c>
      <c r="E86">
        <v>1</v>
      </c>
      <c r="F86">
        <v>1</v>
      </c>
      <c r="G86">
        <v>24859158</v>
      </c>
      <c r="H86">
        <v>2</v>
      </c>
      <c r="I86" t="s">
        <v>317</v>
      </c>
      <c r="J86" t="s">
        <v>318</v>
      </c>
      <c r="K86" t="s">
        <v>319</v>
      </c>
      <c r="L86">
        <v>1367</v>
      </c>
      <c r="N86">
        <v>1011</v>
      </c>
      <c r="O86" t="s">
        <v>269</v>
      </c>
      <c r="P86" t="s">
        <v>269</v>
      </c>
      <c r="Q86">
        <v>1</v>
      </c>
      <c r="X86">
        <v>25.2</v>
      </c>
      <c r="Y86">
        <v>0</v>
      </c>
      <c r="Z86">
        <v>31.85</v>
      </c>
      <c r="AA86">
        <v>14.89</v>
      </c>
      <c r="AB86">
        <v>0</v>
      </c>
      <c r="AC86">
        <v>0</v>
      </c>
      <c r="AD86">
        <v>1</v>
      </c>
      <c r="AE86">
        <v>0</v>
      </c>
      <c r="AF86" t="s">
        <v>3</v>
      </c>
      <c r="AG86">
        <v>25.2</v>
      </c>
      <c r="AH86">
        <v>2</v>
      </c>
      <c r="AI86">
        <v>45748443</v>
      </c>
      <c r="AJ86">
        <v>86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</row>
    <row r="87" spans="1:44" x14ac:dyDescent="0.2">
      <c r="A87">
        <f>ROW(Source!A107)</f>
        <v>107</v>
      </c>
      <c r="B87">
        <v>45748444</v>
      </c>
      <c r="C87">
        <v>45748441</v>
      </c>
      <c r="D87">
        <v>24907493</v>
      </c>
      <c r="E87">
        <v>1</v>
      </c>
      <c r="F87">
        <v>1</v>
      </c>
      <c r="G87">
        <v>24859158</v>
      </c>
      <c r="H87">
        <v>3</v>
      </c>
      <c r="I87" t="s">
        <v>300</v>
      </c>
      <c r="J87" t="s">
        <v>301</v>
      </c>
      <c r="K87" t="s">
        <v>302</v>
      </c>
      <c r="L87">
        <v>1339</v>
      </c>
      <c r="N87">
        <v>1007</v>
      </c>
      <c r="O87" t="s">
        <v>150</v>
      </c>
      <c r="P87" t="s">
        <v>150</v>
      </c>
      <c r="Q87">
        <v>1</v>
      </c>
      <c r="X87">
        <v>0.3</v>
      </c>
      <c r="Y87">
        <v>7.07</v>
      </c>
      <c r="Z87">
        <v>0</v>
      </c>
      <c r="AA87">
        <v>0</v>
      </c>
      <c r="AB87">
        <v>0</v>
      </c>
      <c r="AC87">
        <v>0</v>
      </c>
      <c r="AD87">
        <v>1</v>
      </c>
      <c r="AE87">
        <v>0</v>
      </c>
      <c r="AF87" t="s">
        <v>3</v>
      </c>
      <c r="AG87">
        <v>0.3</v>
      </c>
      <c r="AH87">
        <v>2</v>
      </c>
      <c r="AI87">
        <v>45748444</v>
      </c>
      <c r="AJ87">
        <v>87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x14ac:dyDescent="0.2">
      <c r="A88">
        <f>ROW(Source!A107)</f>
        <v>107</v>
      </c>
      <c r="B88">
        <v>45748445</v>
      </c>
      <c r="C88">
        <v>45748441</v>
      </c>
      <c r="D88">
        <v>24876752</v>
      </c>
      <c r="E88">
        <v>24859158</v>
      </c>
      <c r="F88">
        <v>1</v>
      </c>
      <c r="G88">
        <v>24859158</v>
      </c>
      <c r="H88">
        <v>3</v>
      </c>
      <c r="I88" t="s">
        <v>343</v>
      </c>
      <c r="J88" t="s">
        <v>3</v>
      </c>
      <c r="K88" t="s">
        <v>344</v>
      </c>
      <c r="L88">
        <v>1354</v>
      </c>
      <c r="N88">
        <v>1010</v>
      </c>
      <c r="O88" t="s">
        <v>187</v>
      </c>
      <c r="P88" t="s">
        <v>187</v>
      </c>
      <c r="Q88">
        <v>1</v>
      </c>
      <c r="X88">
        <v>0.67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 t="s">
        <v>3</v>
      </c>
      <c r="AG88">
        <v>0.67</v>
      </c>
      <c r="AH88">
        <v>3</v>
      </c>
      <c r="AI88">
        <v>-1</v>
      </c>
      <c r="AJ88" t="s">
        <v>3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x14ac:dyDescent="0.2">
      <c r="A89">
        <f>ROW(Source!A107)</f>
        <v>107</v>
      </c>
      <c r="B89">
        <v>45748446</v>
      </c>
      <c r="C89">
        <v>45748441</v>
      </c>
      <c r="D89">
        <v>24881026</v>
      </c>
      <c r="E89">
        <v>24859158</v>
      </c>
      <c r="F89">
        <v>1</v>
      </c>
      <c r="G89">
        <v>24859158</v>
      </c>
      <c r="H89">
        <v>3</v>
      </c>
      <c r="I89" t="s">
        <v>312</v>
      </c>
      <c r="J89" t="s">
        <v>3</v>
      </c>
      <c r="K89" t="s">
        <v>313</v>
      </c>
      <c r="L89">
        <v>1344</v>
      </c>
      <c r="N89">
        <v>1008</v>
      </c>
      <c r="O89" t="s">
        <v>278</v>
      </c>
      <c r="P89" t="s">
        <v>278</v>
      </c>
      <c r="Q89">
        <v>1</v>
      </c>
      <c r="X89">
        <v>18</v>
      </c>
      <c r="Y89">
        <v>1</v>
      </c>
      <c r="Z89">
        <v>0</v>
      </c>
      <c r="AA89">
        <v>0</v>
      </c>
      <c r="AB89">
        <v>0</v>
      </c>
      <c r="AC89">
        <v>0</v>
      </c>
      <c r="AD89">
        <v>1</v>
      </c>
      <c r="AE89">
        <v>0</v>
      </c>
      <c r="AF89" t="s">
        <v>3</v>
      </c>
      <c r="AG89">
        <v>18</v>
      </c>
      <c r="AH89">
        <v>2</v>
      </c>
      <c r="AI89">
        <v>45748446</v>
      </c>
      <c r="AJ89">
        <v>89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x14ac:dyDescent="0.2">
      <c r="A90">
        <f>ROW(Source!A108)</f>
        <v>108</v>
      </c>
      <c r="B90">
        <v>45748442</v>
      </c>
      <c r="C90">
        <v>45748441</v>
      </c>
      <c r="D90">
        <v>24859163</v>
      </c>
      <c r="E90">
        <v>24859158</v>
      </c>
      <c r="F90">
        <v>1</v>
      </c>
      <c r="G90">
        <v>24859158</v>
      </c>
      <c r="H90">
        <v>1</v>
      </c>
      <c r="I90" t="s">
        <v>263</v>
      </c>
      <c r="J90" t="s">
        <v>3</v>
      </c>
      <c r="K90" t="s">
        <v>264</v>
      </c>
      <c r="L90">
        <v>1191</v>
      </c>
      <c r="N90">
        <v>1013</v>
      </c>
      <c r="O90" t="s">
        <v>265</v>
      </c>
      <c r="P90" t="s">
        <v>265</v>
      </c>
      <c r="Q90">
        <v>1</v>
      </c>
      <c r="X90">
        <v>32.9</v>
      </c>
      <c r="Y90">
        <v>0</v>
      </c>
      <c r="Z90">
        <v>0</v>
      </c>
      <c r="AA90">
        <v>0</v>
      </c>
      <c r="AB90">
        <v>0</v>
      </c>
      <c r="AC90">
        <v>0</v>
      </c>
      <c r="AD90">
        <v>1</v>
      </c>
      <c r="AE90">
        <v>1</v>
      </c>
      <c r="AF90" t="s">
        <v>3</v>
      </c>
      <c r="AG90">
        <v>32.9</v>
      </c>
      <c r="AH90">
        <v>2</v>
      </c>
      <c r="AI90">
        <v>45748442</v>
      </c>
      <c r="AJ90">
        <v>90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x14ac:dyDescent="0.2">
      <c r="A91">
        <f>ROW(Source!A108)</f>
        <v>108</v>
      </c>
      <c r="B91">
        <v>45748443</v>
      </c>
      <c r="C91">
        <v>45748441</v>
      </c>
      <c r="D91">
        <v>24932482</v>
      </c>
      <c r="E91">
        <v>1</v>
      </c>
      <c r="F91">
        <v>1</v>
      </c>
      <c r="G91">
        <v>24859158</v>
      </c>
      <c r="H91">
        <v>2</v>
      </c>
      <c r="I91" t="s">
        <v>317</v>
      </c>
      <c r="J91" t="s">
        <v>318</v>
      </c>
      <c r="K91" t="s">
        <v>319</v>
      </c>
      <c r="L91">
        <v>1367</v>
      </c>
      <c r="N91">
        <v>1011</v>
      </c>
      <c r="O91" t="s">
        <v>269</v>
      </c>
      <c r="P91" t="s">
        <v>269</v>
      </c>
      <c r="Q91">
        <v>1</v>
      </c>
      <c r="X91">
        <v>25.2</v>
      </c>
      <c r="Y91">
        <v>0</v>
      </c>
      <c r="Z91">
        <v>31.85</v>
      </c>
      <c r="AA91">
        <v>14.89</v>
      </c>
      <c r="AB91">
        <v>0</v>
      </c>
      <c r="AC91">
        <v>0</v>
      </c>
      <c r="AD91">
        <v>1</v>
      </c>
      <c r="AE91">
        <v>0</v>
      </c>
      <c r="AF91" t="s">
        <v>3</v>
      </c>
      <c r="AG91">
        <v>25.2</v>
      </c>
      <c r="AH91">
        <v>2</v>
      </c>
      <c r="AI91">
        <v>45748443</v>
      </c>
      <c r="AJ91">
        <v>91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 x14ac:dyDescent="0.2">
      <c r="A92">
        <f>ROW(Source!A108)</f>
        <v>108</v>
      </c>
      <c r="B92">
        <v>45748444</v>
      </c>
      <c r="C92">
        <v>45748441</v>
      </c>
      <c r="D92">
        <v>24907493</v>
      </c>
      <c r="E92">
        <v>1</v>
      </c>
      <c r="F92">
        <v>1</v>
      </c>
      <c r="G92">
        <v>24859158</v>
      </c>
      <c r="H92">
        <v>3</v>
      </c>
      <c r="I92" t="s">
        <v>300</v>
      </c>
      <c r="J92" t="s">
        <v>301</v>
      </c>
      <c r="K92" t="s">
        <v>302</v>
      </c>
      <c r="L92">
        <v>1339</v>
      </c>
      <c r="N92">
        <v>1007</v>
      </c>
      <c r="O92" t="s">
        <v>150</v>
      </c>
      <c r="P92" t="s">
        <v>150</v>
      </c>
      <c r="Q92">
        <v>1</v>
      </c>
      <c r="X92">
        <v>0.3</v>
      </c>
      <c r="Y92">
        <v>7.07</v>
      </c>
      <c r="Z92">
        <v>0</v>
      </c>
      <c r="AA92">
        <v>0</v>
      </c>
      <c r="AB92">
        <v>0</v>
      </c>
      <c r="AC92">
        <v>0</v>
      </c>
      <c r="AD92">
        <v>1</v>
      </c>
      <c r="AE92">
        <v>0</v>
      </c>
      <c r="AF92" t="s">
        <v>3</v>
      </c>
      <c r="AG92">
        <v>0.3</v>
      </c>
      <c r="AH92">
        <v>2</v>
      </c>
      <c r="AI92">
        <v>45748444</v>
      </c>
      <c r="AJ92">
        <v>92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</row>
    <row r="93" spans="1:44" x14ac:dyDescent="0.2">
      <c r="A93">
        <f>ROW(Source!A108)</f>
        <v>108</v>
      </c>
      <c r="B93">
        <v>45748445</v>
      </c>
      <c r="C93">
        <v>45748441</v>
      </c>
      <c r="D93">
        <v>24876752</v>
      </c>
      <c r="E93">
        <v>24859158</v>
      </c>
      <c r="F93">
        <v>1</v>
      </c>
      <c r="G93">
        <v>24859158</v>
      </c>
      <c r="H93">
        <v>3</v>
      </c>
      <c r="I93" t="s">
        <v>343</v>
      </c>
      <c r="J93" t="s">
        <v>3</v>
      </c>
      <c r="K93" t="s">
        <v>344</v>
      </c>
      <c r="L93">
        <v>1354</v>
      </c>
      <c r="N93">
        <v>1010</v>
      </c>
      <c r="O93" t="s">
        <v>187</v>
      </c>
      <c r="P93" t="s">
        <v>187</v>
      </c>
      <c r="Q93">
        <v>1</v>
      </c>
      <c r="X93">
        <v>0.67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 t="s">
        <v>3</v>
      </c>
      <c r="AG93">
        <v>0.67</v>
      </c>
      <c r="AH93">
        <v>3</v>
      </c>
      <c r="AI93">
        <v>-1</v>
      </c>
      <c r="AJ93" t="s">
        <v>3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</row>
    <row r="94" spans="1:44" x14ac:dyDescent="0.2">
      <c r="A94">
        <f>ROW(Source!A108)</f>
        <v>108</v>
      </c>
      <c r="B94">
        <v>45748446</v>
      </c>
      <c r="C94">
        <v>45748441</v>
      </c>
      <c r="D94">
        <v>24881026</v>
      </c>
      <c r="E94">
        <v>24859158</v>
      </c>
      <c r="F94">
        <v>1</v>
      </c>
      <c r="G94">
        <v>24859158</v>
      </c>
      <c r="H94">
        <v>3</v>
      </c>
      <c r="I94" t="s">
        <v>312</v>
      </c>
      <c r="J94" t="s">
        <v>3</v>
      </c>
      <c r="K94" t="s">
        <v>313</v>
      </c>
      <c r="L94">
        <v>1344</v>
      </c>
      <c r="N94">
        <v>1008</v>
      </c>
      <c r="O94" t="s">
        <v>278</v>
      </c>
      <c r="P94" t="s">
        <v>278</v>
      </c>
      <c r="Q94">
        <v>1</v>
      </c>
      <c r="X94">
        <v>18</v>
      </c>
      <c r="Y94">
        <v>1</v>
      </c>
      <c r="Z94">
        <v>0</v>
      </c>
      <c r="AA94">
        <v>0</v>
      </c>
      <c r="AB94">
        <v>0</v>
      </c>
      <c r="AC94">
        <v>0</v>
      </c>
      <c r="AD94">
        <v>1</v>
      </c>
      <c r="AE94">
        <v>0</v>
      </c>
      <c r="AF94" t="s">
        <v>3</v>
      </c>
      <c r="AG94">
        <v>18</v>
      </c>
      <c r="AH94">
        <v>2</v>
      </c>
      <c r="AI94">
        <v>45748446</v>
      </c>
      <c r="AJ94">
        <v>94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</row>
    <row r="95" spans="1:44" x14ac:dyDescent="0.2">
      <c r="A95">
        <f>ROW(Source!A148)</f>
        <v>148</v>
      </c>
      <c r="B95">
        <v>45748569</v>
      </c>
      <c r="C95">
        <v>45748513</v>
      </c>
      <c r="D95">
        <v>24859163</v>
      </c>
      <c r="E95">
        <v>24859158</v>
      </c>
      <c r="F95">
        <v>1</v>
      </c>
      <c r="G95">
        <v>24859158</v>
      </c>
      <c r="H95">
        <v>1</v>
      </c>
      <c r="I95" t="s">
        <v>263</v>
      </c>
      <c r="J95" t="s">
        <v>3</v>
      </c>
      <c r="K95" t="s">
        <v>264</v>
      </c>
      <c r="L95">
        <v>1191</v>
      </c>
      <c r="N95">
        <v>1013</v>
      </c>
      <c r="O95" t="s">
        <v>265</v>
      </c>
      <c r="P95" t="s">
        <v>265</v>
      </c>
      <c r="Q95">
        <v>1</v>
      </c>
      <c r="X95">
        <v>1.38</v>
      </c>
      <c r="Y95">
        <v>0</v>
      </c>
      <c r="Z95">
        <v>0</v>
      </c>
      <c r="AA95">
        <v>0</v>
      </c>
      <c r="AB95">
        <v>0</v>
      </c>
      <c r="AC95">
        <v>0</v>
      </c>
      <c r="AD95">
        <v>1</v>
      </c>
      <c r="AE95">
        <v>1</v>
      </c>
      <c r="AF95" t="s">
        <v>3</v>
      </c>
      <c r="AG95">
        <v>1.38</v>
      </c>
      <c r="AH95">
        <v>2</v>
      </c>
      <c r="AI95">
        <v>45748569</v>
      </c>
      <c r="AJ95">
        <v>95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</row>
    <row r="96" spans="1:44" x14ac:dyDescent="0.2">
      <c r="A96">
        <f>ROW(Source!A148)</f>
        <v>148</v>
      </c>
      <c r="B96">
        <v>45748570</v>
      </c>
      <c r="C96">
        <v>45748513</v>
      </c>
      <c r="D96">
        <v>24931541</v>
      </c>
      <c r="E96">
        <v>1</v>
      </c>
      <c r="F96">
        <v>1</v>
      </c>
      <c r="G96">
        <v>24859158</v>
      </c>
      <c r="H96">
        <v>2</v>
      </c>
      <c r="I96" t="s">
        <v>320</v>
      </c>
      <c r="J96" t="s">
        <v>321</v>
      </c>
      <c r="K96" t="s">
        <v>322</v>
      </c>
      <c r="L96">
        <v>1367</v>
      </c>
      <c r="N96">
        <v>1011</v>
      </c>
      <c r="O96" t="s">
        <v>269</v>
      </c>
      <c r="P96" t="s">
        <v>269</v>
      </c>
      <c r="Q96">
        <v>1</v>
      </c>
      <c r="X96">
        <v>3.9874999999999998</v>
      </c>
      <c r="Y96">
        <v>0</v>
      </c>
      <c r="Z96">
        <v>162.4</v>
      </c>
      <c r="AA96">
        <v>28.6</v>
      </c>
      <c r="AB96">
        <v>0</v>
      </c>
      <c r="AC96">
        <v>0</v>
      </c>
      <c r="AD96">
        <v>1</v>
      </c>
      <c r="AE96">
        <v>0</v>
      </c>
      <c r="AF96" t="s">
        <v>3</v>
      </c>
      <c r="AG96">
        <v>3.9874999999999998</v>
      </c>
      <c r="AH96">
        <v>2</v>
      </c>
      <c r="AI96">
        <v>45748570</v>
      </c>
      <c r="AJ96">
        <v>96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 x14ac:dyDescent="0.2">
      <c r="A97">
        <f>ROW(Source!A148)</f>
        <v>148</v>
      </c>
      <c r="B97">
        <v>45748571</v>
      </c>
      <c r="C97">
        <v>45748513</v>
      </c>
      <c r="D97">
        <v>24931566</v>
      </c>
      <c r="E97">
        <v>1</v>
      </c>
      <c r="F97">
        <v>1</v>
      </c>
      <c r="G97">
        <v>24859158</v>
      </c>
      <c r="H97">
        <v>2</v>
      </c>
      <c r="I97" t="s">
        <v>323</v>
      </c>
      <c r="J97" t="s">
        <v>324</v>
      </c>
      <c r="K97" t="s">
        <v>325</v>
      </c>
      <c r="L97">
        <v>1367</v>
      </c>
      <c r="N97">
        <v>1011</v>
      </c>
      <c r="O97" t="s">
        <v>269</v>
      </c>
      <c r="P97" t="s">
        <v>269</v>
      </c>
      <c r="Q97">
        <v>1</v>
      </c>
      <c r="X97">
        <v>0.997</v>
      </c>
      <c r="Y97">
        <v>0</v>
      </c>
      <c r="Z97">
        <v>161.49</v>
      </c>
      <c r="AA97">
        <v>17.7</v>
      </c>
      <c r="AB97">
        <v>0</v>
      </c>
      <c r="AC97">
        <v>0</v>
      </c>
      <c r="AD97">
        <v>1</v>
      </c>
      <c r="AE97">
        <v>0</v>
      </c>
      <c r="AF97" t="s">
        <v>3</v>
      </c>
      <c r="AG97">
        <v>0.997</v>
      </c>
      <c r="AH97">
        <v>2</v>
      </c>
      <c r="AI97">
        <v>45748571</v>
      </c>
      <c r="AJ97">
        <v>97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x14ac:dyDescent="0.2">
      <c r="A98">
        <f>ROW(Source!A149)</f>
        <v>149</v>
      </c>
      <c r="B98">
        <v>45748569</v>
      </c>
      <c r="C98">
        <v>45748513</v>
      </c>
      <c r="D98">
        <v>24859163</v>
      </c>
      <c r="E98">
        <v>24859158</v>
      </c>
      <c r="F98">
        <v>1</v>
      </c>
      <c r="G98">
        <v>24859158</v>
      </c>
      <c r="H98">
        <v>1</v>
      </c>
      <c r="I98" t="s">
        <v>263</v>
      </c>
      <c r="J98" t="s">
        <v>3</v>
      </c>
      <c r="K98" t="s">
        <v>264</v>
      </c>
      <c r="L98">
        <v>1191</v>
      </c>
      <c r="N98">
        <v>1013</v>
      </c>
      <c r="O98" t="s">
        <v>265</v>
      </c>
      <c r="P98" t="s">
        <v>265</v>
      </c>
      <c r="Q98">
        <v>1</v>
      </c>
      <c r="X98">
        <v>1.38</v>
      </c>
      <c r="Y98">
        <v>0</v>
      </c>
      <c r="Z98">
        <v>0</v>
      </c>
      <c r="AA98">
        <v>0</v>
      </c>
      <c r="AB98">
        <v>0</v>
      </c>
      <c r="AC98">
        <v>0</v>
      </c>
      <c r="AD98">
        <v>1</v>
      </c>
      <c r="AE98">
        <v>1</v>
      </c>
      <c r="AF98" t="s">
        <v>3</v>
      </c>
      <c r="AG98">
        <v>1.38</v>
      </c>
      <c r="AH98">
        <v>2</v>
      </c>
      <c r="AI98">
        <v>45748569</v>
      </c>
      <c r="AJ98">
        <v>98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x14ac:dyDescent="0.2">
      <c r="A99">
        <f>ROW(Source!A149)</f>
        <v>149</v>
      </c>
      <c r="B99">
        <v>45748570</v>
      </c>
      <c r="C99">
        <v>45748513</v>
      </c>
      <c r="D99">
        <v>24931541</v>
      </c>
      <c r="E99">
        <v>1</v>
      </c>
      <c r="F99">
        <v>1</v>
      </c>
      <c r="G99">
        <v>24859158</v>
      </c>
      <c r="H99">
        <v>2</v>
      </c>
      <c r="I99" t="s">
        <v>320</v>
      </c>
      <c r="J99" t="s">
        <v>321</v>
      </c>
      <c r="K99" t="s">
        <v>322</v>
      </c>
      <c r="L99">
        <v>1367</v>
      </c>
      <c r="N99">
        <v>1011</v>
      </c>
      <c r="O99" t="s">
        <v>269</v>
      </c>
      <c r="P99" t="s">
        <v>269</v>
      </c>
      <c r="Q99">
        <v>1</v>
      </c>
      <c r="X99">
        <v>3.9874999999999998</v>
      </c>
      <c r="Y99">
        <v>0</v>
      </c>
      <c r="Z99">
        <v>162.4</v>
      </c>
      <c r="AA99">
        <v>28.6</v>
      </c>
      <c r="AB99">
        <v>0</v>
      </c>
      <c r="AC99">
        <v>0</v>
      </c>
      <c r="AD99">
        <v>1</v>
      </c>
      <c r="AE99">
        <v>0</v>
      </c>
      <c r="AF99" t="s">
        <v>3</v>
      </c>
      <c r="AG99">
        <v>3.9874999999999998</v>
      </c>
      <c r="AH99">
        <v>2</v>
      </c>
      <c r="AI99">
        <v>45748570</v>
      </c>
      <c r="AJ99">
        <v>99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x14ac:dyDescent="0.2">
      <c r="A100">
        <f>ROW(Source!A149)</f>
        <v>149</v>
      </c>
      <c r="B100">
        <v>45748571</v>
      </c>
      <c r="C100">
        <v>45748513</v>
      </c>
      <c r="D100">
        <v>24931566</v>
      </c>
      <c r="E100">
        <v>1</v>
      </c>
      <c r="F100">
        <v>1</v>
      </c>
      <c r="G100">
        <v>24859158</v>
      </c>
      <c r="H100">
        <v>2</v>
      </c>
      <c r="I100" t="s">
        <v>323</v>
      </c>
      <c r="J100" t="s">
        <v>324</v>
      </c>
      <c r="K100" t="s">
        <v>325</v>
      </c>
      <c r="L100">
        <v>1367</v>
      </c>
      <c r="N100">
        <v>1011</v>
      </c>
      <c r="O100" t="s">
        <v>269</v>
      </c>
      <c r="P100" t="s">
        <v>269</v>
      </c>
      <c r="Q100">
        <v>1</v>
      </c>
      <c r="X100">
        <v>0.997</v>
      </c>
      <c r="Y100">
        <v>0</v>
      </c>
      <c r="Z100">
        <v>161.49</v>
      </c>
      <c r="AA100">
        <v>17.7</v>
      </c>
      <c r="AB100">
        <v>0</v>
      </c>
      <c r="AC100">
        <v>0</v>
      </c>
      <c r="AD100">
        <v>1</v>
      </c>
      <c r="AE100">
        <v>0</v>
      </c>
      <c r="AF100" t="s">
        <v>3</v>
      </c>
      <c r="AG100">
        <v>0.997</v>
      </c>
      <c r="AH100">
        <v>2</v>
      </c>
      <c r="AI100">
        <v>45748571</v>
      </c>
      <c r="AJ100">
        <v>100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</row>
    <row r="101" spans="1:44" x14ac:dyDescent="0.2">
      <c r="A101">
        <f>ROW(Source!A150)</f>
        <v>150</v>
      </c>
      <c r="B101">
        <v>45748522</v>
      </c>
      <c r="C101">
        <v>45748520</v>
      </c>
      <c r="D101">
        <v>24859163</v>
      </c>
      <c r="E101">
        <v>24859158</v>
      </c>
      <c r="F101">
        <v>1</v>
      </c>
      <c r="G101">
        <v>24859158</v>
      </c>
      <c r="H101">
        <v>1</v>
      </c>
      <c r="I101" t="s">
        <v>263</v>
      </c>
      <c r="J101" t="s">
        <v>3</v>
      </c>
      <c r="K101" t="s">
        <v>264</v>
      </c>
      <c r="L101">
        <v>1191</v>
      </c>
      <c r="N101">
        <v>1013</v>
      </c>
      <c r="O101" t="s">
        <v>265</v>
      </c>
      <c r="P101" t="s">
        <v>265</v>
      </c>
      <c r="Q101">
        <v>1</v>
      </c>
      <c r="X101">
        <v>192.7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1</v>
      </c>
      <c r="AE101">
        <v>1</v>
      </c>
      <c r="AF101" t="s">
        <v>3</v>
      </c>
      <c r="AG101">
        <v>192.7</v>
      </c>
      <c r="AH101">
        <v>2</v>
      </c>
      <c r="AI101">
        <v>45748521</v>
      </c>
      <c r="AJ101">
        <v>101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 x14ac:dyDescent="0.2">
      <c r="A102">
        <f>ROW(Source!A151)</f>
        <v>151</v>
      </c>
      <c r="B102">
        <v>45748522</v>
      </c>
      <c r="C102">
        <v>45748520</v>
      </c>
      <c r="D102">
        <v>24859163</v>
      </c>
      <c r="E102">
        <v>24859158</v>
      </c>
      <c r="F102">
        <v>1</v>
      </c>
      <c r="G102">
        <v>24859158</v>
      </c>
      <c r="H102">
        <v>1</v>
      </c>
      <c r="I102" t="s">
        <v>263</v>
      </c>
      <c r="J102" t="s">
        <v>3</v>
      </c>
      <c r="K102" t="s">
        <v>264</v>
      </c>
      <c r="L102">
        <v>1191</v>
      </c>
      <c r="N102">
        <v>1013</v>
      </c>
      <c r="O102" t="s">
        <v>265</v>
      </c>
      <c r="P102" t="s">
        <v>265</v>
      </c>
      <c r="Q102">
        <v>1</v>
      </c>
      <c r="X102">
        <v>192.7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1</v>
      </c>
      <c r="AE102">
        <v>1</v>
      </c>
      <c r="AF102" t="s">
        <v>3</v>
      </c>
      <c r="AG102">
        <v>192.7</v>
      </c>
      <c r="AH102">
        <v>2</v>
      </c>
      <c r="AI102">
        <v>45748521</v>
      </c>
      <c r="AJ102">
        <v>102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</row>
    <row r="103" spans="1:44" x14ac:dyDescent="0.2">
      <c r="A103">
        <f>ROW(Source!A152)</f>
        <v>152</v>
      </c>
      <c r="B103">
        <v>45748527</v>
      </c>
      <c r="C103">
        <v>45748523</v>
      </c>
      <c r="D103">
        <v>24859163</v>
      </c>
      <c r="E103">
        <v>24859158</v>
      </c>
      <c r="F103">
        <v>1</v>
      </c>
      <c r="G103">
        <v>24859158</v>
      </c>
      <c r="H103">
        <v>1</v>
      </c>
      <c r="I103" t="s">
        <v>263</v>
      </c>
      <c r="J103" t="s">
        <v>3</v>
      </c>
      <c r="K103" t="s">
        <v>264</v>
      </c>
      <c r="L103">
        <v>1191</v>
      </c>
      <c r="N103">
        <v>1013</v>
      </c>
      <c r="O103" t="s">
        <v>265</v>
      </c>
      <c r="P103" t="s">
        <v>265</v>
      </c>
      <c r="Q103">
        <v>1</v>
      </c>
      <c r="X103">
        <v>1.38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1</v>
      </c>
      <c r="AE103">
        <v>1</v>
      </c>
      <c r="AF103" t="s">
        <v>3</v>
      </c>
      <c r="AG103">
        <v>1.38</v>
      </c>
      <c r="AH103">
        <v>2</v>
      </c>
      <c r="AI103">
        <v>45748524</v>
      </c>
      <c r="AJ103">
        <v>103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</row>
    <row r="104" spans="1:44" x14ac:dyDescent="0.2">
      <c r="A104">
        <f>ROW(Source!A152)</f>
        <v>152</v>
      </c>
      <c r="B104">
        <v>45748528</v>
      </c>
      <c r="C104">
        <v>45748523</v>
      </c>
      <c r="D104">
        <v>24931541</v>
      </c>
      <c r="E104">
        <v>1</v>
      </c>
      <c r="F104">
        <v>1</v>
      </c>
      <c r="G104">
        <v>24859158</v>
      </c>
      <c r="H104">
        <v>2</v>
      </c>
      <c r="I104" t="s">
        <v>320</v>
      </c>
      <c r="J104" t="s">
        <v>321</v>
      </c>
      <c r="K104" t="s">
        <v>322</v>
      </c>
      <c r="L104">
        <v>1367</v>
      </c>
      <c r="N104">
        <v>1011</v>
      </c>
      <c r="O104" t="s">
        <v>269</v>
      </c>
      <c r="P104" t="s">
        <v>269</v>
      </c>
      <c r="Q104">
        <v>1</v>
      </c>
      <c r="X104">
        <v>3.9874999999999998</v>
      </c>
      <c r="Y104">
        <v>0</v>
      </c>
      <c r="Z104">
        <v>162.4</v>
      </c>
      <c r="AA104">
        <v>28.6</v>
      </c>
      <c r="AB104">
        <v>0</v>
      </c>
      <c r="AC104">
        <v>0</v>
      </c>
      <c r="AD104">
        <v>1</v>
      </c>
      <c r="AE104">
        <v>0</v>
      </c>
      <c r="AF104" t="s">
        <v>3</v>
      </c>
      <c r="AG104">
        <v>3.9874999999999998</v>
      </c>
      <c r="AH104">
        <v>2</v>
      </c>
      <c r="AI104">
        <v>45748525</v>
      </c>
      <c r="AJ104">
        <v>104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</row>
    <row r="105" spans="1:44" x14ac:dyDescent="0.2">
      <c r="A105">
        <f>ROW(Source!A152)</f>
        <v>152</v>
      </c>
      <c r="B105">
        <v>45748529</v>
      </c>
      <c r="C105">
        <v>45748523</v>
      </c>
      <c r="D105">
        <v>24931566</v>
      </c>
      <c r="E105">
        <v>1</v>
      </c>
      <c r="F105">
        <v>1</v>
      </c>
      <c r="G105">
        <v>24859158</v>
      </c>
      <c r="H105">
        <v>2</v>
      </c>
      <c r="I105" t="s">
        <v>323</v>
      </c>
      <c r="J105" t="s">
        <v>326</v>
      </c>
      <c r="K105" t="s">
        <v>325</v>
      </c>
      <c r="L105">
        <v>1367</v>
      </c>
      <c r="N105">
        <v>1011</v>
      </c>
      <c r="O105" t="s">
        <v>269</v>
      </c>
      <c r="P105" t="s">
        <v>269</v>
      </c>
      <c r="Q105">
        <v>1</v>
      </c>
      <c r="X105">
        <v>0.997</v>
      </c>
      <c r="Y105">
        <v>0</v>
      </c>
      <c r="Z105">
        <v>110.31</v>
      </c>
      <c r="AA105">
        <v>26.52</v>
      </c>
      <c r="AB105">
        <v>0</v>
      </c>
      <c r="AC105">
        <v>0</v>
      </c>
      <c r="AD105">
        <v>1</v>
      </c>
      <c r="AE105">
        <v>0</v>
      </c>
      <c r="AF105" t="s">
        <v>3</v>
      </c>
      <c r="AG105">
        <v>0.997</v>
      </c>
      <c r="AH105">
        <v>2</v>
      </c>
      <c r="AI105">
        <v>45748526</v>
      </c>
      <c r="AJ105">
        <v>105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 x14ac:dyDescent="0.2">
      <c r="A106">
        <f>ROW(Source!A153)</f>
        <v>153</v>
      </c>
      <c r="B106">
        <v>45748527</v>
      </c>
      <c r="C106">
        <v>45748523</v>
      </c>
      <c r="D106">
        <v>24859163</v>
      </c>
      <c r="E106">
        <v>24859158</v>
      </c>
      <c r="F106">
        <v>1</v>
      </c>
      <c r="G106">
        <v>24859158</v>
      </c>
      <c r="H106">
        <v>1</v>
      </c>
      <c r="I106" t="s">
        <v>263</v>
      </c>
      <c r="J106" t="s">
        <v>3</v>
      </c>
      <c r="K106" t="s">
        <v>264</v>
      </c>
      <c r="L106">
        <v>1191</v>
      </c>
      <c r="N106">
        <v>1013</v>
      </c>
      <c r="O106" t="s">
        <v>265</v>
      </c>
      <c r="P106" t="s">
        <v>265</v>
      </c>
      <c r="Q106">
        <v>1</v>
      </c>
      <c r="X106">
        <v>1.38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1</v>
      </c>
      <c r="AE106">
        <v>1</v>
      </c>
      <c r="AF106" t="s">
        <v>3</v>
      </c>
      <c r="AG106">
        <v>1.38</v>
      </c>
      <c r="AH106">
        <v>2</v>
      </c>
      <c r="AI106">
        <v>45748524</v>
      </c>
      <c r="AJ106">
        <v>106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</row>
    <row r="107" spans="1:44" x14ac:dyDescent="0.2">
      <c r="A107">
        <f>ROW(Source!A153)</f>
        <v>153</v>
      </c>
      <c r="B107">
        <v>45748528</v>
      </c>
      <c r="C107">
        <v>45748523</v>
      </c>
      <c r="D107">
        <v>24931541</v>
      </c>
      <c r="E107">
        <v>1</v>
      </c>
      <c r="F107">
        <v>1</v>
      </c>
      <c r="G107">
        <v>24859158</v>
      </c>
      <c r="H107">
        <v>2</v>
      </c>
      <c r="I107" t="s">
        <v>320</v>
      </c>
      <c r="J107" t="s">
        <v>321</v>
      </c>
      <c r="K107" t="s">
        <v>322</v>
      </c>
      <c r="L107">
        <v>1367</v>
      </c>
      <c r="N107">
        <v>1011</v>
      </c>
      <c r="O107" t="s">
        <v>269</v>
      </c>
      <c r="P107" t="s">
        <v>269</v>
      </c>
      <c r="Q107">
        <v>1</v>
      </c>
      <c r="X107">
        <v>3.9874999999999998</v>
      </c>
      <c r="Y107">
        <v>0</v>
      </c>
      <c r="Z107">
        <v>162.4</v>
      </c>
      <c r="AA107">
        <v>28.6</v>
      </c>
      <c r="AB107">
        <v>0</v>
      </c>
      <c r="AC107">
        <v>0</v>
      </c>
      <c r="AD107">
        <v>1</v>
      </c>
      <c r="AE107">
        <v>0</v>
      </c>
      <c r="AF107" t="s">
        <v>3</v>
      </c>
      <c r="AG107">
        <v>3.9874999999999998</v>
      </c>
      <c r="AH107">
        <v>2</v>
      </c>
      <c r="AI107">
        <v>45748525</v>
      </c>
      <c r="AJ107">
        <v>107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 x14ac:dyDescent="0.2">
      <c r="A108">
        <f>ROW(Source!A153)</f>
        <v>153</v>
      </c>
      <c r="B108">
        <v>45748529</v>
      </c>
      <c r="C108">
        <v>45748523</v>
      </c>
      <c r="D108">
        <v>24931566</v>
      </c>
      <c r="E108">
        <v>1</v>
      </c>
      <c r="F108">
        <v>1</v>
      </c>
      <c r="G108">
        <v>24859158</v>
      </c>
      <c r="H108">
        <v>2</v>
      </c>
      <c r="I108" t="s">
        <v>323</v>
      </c>
      <c r="J108" t="s">
        <v>326</v>
      </c>
      <c r="K108" t="s">
        <v>325</v>
      </c>
      <c r="L108">
        <v>1367</v>
      </c>
      <c r="N108">
        <v>1011</v>
      </c>
      <c r="O108" t="s">
        <v>269</v>
      </c>
      <c r="P108" t="s">
        <v>269</v>
      </c>
      <c r="Q108">
        <v>1</v>
      </c>
      <c r="X108">
        <v>0.997</v>
      </c>
      <c r="Y108">
        <v>0</v>
      </c>
      <c r="Z108">
        <v>161.49</v>
      </c>
      <c r="AA108">
        <v>17.7</v>
      </c>
      <c r="AB108">
        <v>0</v>
      </c>
      <c r="AC108">
        <v>0</v>
      </c>
      <c r="AD108">
        <v>1</v>
      </c>
      <c r="AE108">
        <v>0</v>
      </c>
      <c r="AF108" t="s">
        <v>3</v>
      </c>
      <c r="AG108">
        <v>0.997</v>
      </c>
      <c r="AH108">
        <v>2</v>
      </c>
      <c r="AI108">
        <v>45748526</v>
      </c>
      <c r="AJ108">
        <v>108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 x14ac:dyDescent="0.2">
      <c r="A109">
        <f>ROW(Source!A154)</f>
        <v>154</v>
      </c>
      <c r="B109">
        <v>45748532</v>
      </c>
      <c r="C109">
        <v>45748530</v>
      </c>
      <c r="D109">
        <v>24859163</v>
      </c>
      <c r="E109">
        <v>24859158</v>
      </c>
      <c r="F109">
        <v>1</v>
      </c>
      <c r="G109">
        <v>24859158</v>
      </c>
      <c r="H109">
        <v>1</v>
      </c>
      <c r="I109" t="s">
        <v>263</v>
      </c>
      <c r="J109" t="s">
        <v>3</v>
      </c>
      <c r="K109" t="s">
        <v>264</v>
      </c>
      <c r="L109">
        <v>1191</v>
      </c>
      <c r="N109">
        <v>1013</v>
      </c>
      <c r="O109" t="s">
        <v>265</v>
      </c>
      <c r="P109" t="s">
        <v>265</v>
      </c>
      <c r="Q109">
        <v>1</v>
      </c>
      <c r="X109">
        <v>83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1</v>
      </c>
      <c r="AE109">
        <v>1</v>
      </c>
      <c r="AF109" t="s">
        <v>3</v>
      </c>
      <c r="AG109">
        <v>83</v>
      </c>
      <c r="AH109">
        <v>2</v>
      </c>
      <c r="AI109">
        <v>45748531</v>
      </c>
      <c r="AJ109">
        <v>109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x14ac:dyDescent="0.2">
      <c r="A110">
        <f>ROW(Source!A155)</f>
        <v>155</v>
      </c>
      <c r="B110">
        <v>45748532</v>
      </c>
      <c r="C110">
        <v>45748530</v>
      </c>
      <c r="D110">
        <v>24859163</v>
      </c>
      <c r="E110">
        <v>24859158</v>
      </c>
      <c r="F110">
        <v>1</v>
      </c>
      <c r="G110">
        <v>24859158</v>
      </c>
      <c r="H110">
        <v>1</v>
      </c>
      <c r="I110" t="s">
        <v>263</v>
      </c>
      <c r="J110" t="s">
        <v>3</v>
      </c>
      <c r="K110" t="s">
        <v>264</v>
      </c>
      <c r="L110">
        <v>1191</v>
      </c>
      <c r="N110">
        <v>1013</v>
      </c>
      <c r="O110" t="s">
        <v>265</v>
      </c>
      <c r="P110" t="s">
        <v>265</v>
      </c>
      <c r="Q110">
        <v>1</v>
      </c>
      <c r="X110">
        <v>83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1</v>
      </c>
      <c r="AE110">
        <v>1</v>
      </c>
      <c r="AF110" t="s">
        <v>3</v>
      </c>
      <c r="AG110">
        <v>83</v>
      </c>
      <c r="AH110">
        <v>2</v>
      </c>
      <c r="AI110">
        <v>45748531</v>
      </c>
      <c r="AJ110">
        <v>110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  <row r="111" spans="1:44" x14ac:dyDescent="0.2">
      <c r="A111">
        <f>ROW(Source!A156)</f>
        <v>156</v>
      </c>
      <c r="B111">
        <v>45748572</v>
      </c>
      <c r="C111">
        <v>45748533</v>
      </c>
      <c r="D111">
        <v>26556672</v>
      </c>
      <c r="E111">
        <v>1</v>
      </c>
      <c r="F111">
        <v>1</v>
      </c>
      <c r="G111">
        <v>24859158</v>
      </c>
      <c r="H111">
        <v>2</v>
      </c>
      <c r="I111" t="s">
        <v>327</v>
      </c>
      <c r="J111" t="s">
        <v>328</v>
      </c>
      <c r="K111" t="s">
        <v>329</v>
      </c>
      <c r="L111">
        <v>1367</v>
      </c>
      <c r="N111">
        <v>1011</v>
      </c>
      <c r="O111" t="s">
        <v>269</v>
      </c>
      <c r="P111" t="s">
        <v>269</v>
      </c>
      <c r="Q111">
        <v>1</v>
      </c>
      <c r="X111">
        <v>1</v>
      </c>
      <c r="Y111">
        <v>0</v>
      </c>
      <c r="Z111">
        <v>162.03</v>
      </c>
      <c r="AA111">
        <v>16.920000000000002</v>
      </c>
      <c r="AB111">
        <v>0</v>
      </c>
      <c r="AC111">
        <v>0</v>
      </c>
      <c r="AD111">
        <v>1</v>
      </c>
      <c r="AE111">
        <v>0</v>
      </c>
      <c r="AF111" t="s">
        <v>3</v>
      </c>
      <c r="AG111">
        <v>1</v>
      </c>
      <c r="AH111">
        <v>2</v>
      </c>
      <c r="AI111">
        <v>45748572</v>
      </c>
      <c r="AJ111">
        <v>111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</row>
    <row r="112" spans="1:44" x14ac:dyDescent="0.2">
      <c r="A112">
        <f>ROW(Source!A157)</f>
        <v>157</v>
      </c>
      <c r="B112">
        <v>45748572</v>
      </c>
      <c r="C112">
        <v>45748533</v>
      </c>
      <c r="D112">
        <v>26556672</v>
      </c>
      <c r="E112">
        <v>1</v>
      </c>
      <c r="F112">
        <v>1</v>
      </c>
      <c r="G112">
        <v>24859158</v>
      </c>
      <c r="H112">
        <v>2</v>
      </c>
      <c r="I112" t="s">
        <v>327</v>
      </c>
      <c r="J112" t="s">
        <v>328</v>
      </c>
      <c r="K112" t="s">
        <v>329</v>
      </c>
      <c r="L112">
        <v>1367</v>
      </c>
      <c r="N112">
        <v>1011</v>
      </c>
      <c r="O112" t="s">
        <v>269</v>
      </c>
      <c r="P112" t="s">
        <v>269</v>
      </c>
      <c r="Q112">
        <v>1</v>
      </c>
      <c r="X112">
        <v>1</v>
      </c>
      <c r="Y112">
        <v>0</v>
      </c>
      <c r="Z112">
        <v>162.03</v>
      </c>
      <c r="AA112">
        <v>16.920000000000002</v>
      </c>
      <c r="AB112">
        <v>0</v>
      </c>
      <c r="AC112">
        <v>0</v>
      </c>
      <c r="AD112">
        <v>1</v>
      </c>
      <c r="AE112">
        <v>0</v>
      </c>
      <c r="AF112" t="s">
        <v>3</v>
      </c>
      <c r="AG112">
        <v>1</v>
      </c>
      <c r="AH112">
        <v>2</v>
      </c>
      <c r="AI112">
        <v>45748572</v>
      </c>
      <c r="AJ112">
        <v>112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</row>
    <row r="113" spans="1:44" x14ac:dyDescent="0.2">
      <c r="A113">
        <f>ROW(Source!A158)</f>
        <v>158</v>
      </c>
      <c r="B113">
        <v>45748538</v>
      </c>
      <c r="C113">
        <v>45748536</v>
      </c>
      <c r="D113">
        <v>24859885</v>
      </c>
      <c r="E113">
        <v>24859158</v>
      </c>
      <c r="F113">
        <v>1</v>
      </c>
      <c r="G113">
        <v>24859158</v>
      </c>
      <c r="H113">
        <v>2</v>
      </c>
      <c r="I113" t="s">
        <v>276</v>
      </c>
      <c r="J113" t="s">
        <v>3</v>
      </c>
      <c r="K113" t="s">
        <v>277</v>
      </c>
      <c r="L113">
        <v>1344</v>
      </c>
      <c r="N113">
        <v>1008</v>
      </c>
      <c r="O113" t="s">
        <v>278</v>
      </c>
      <c r="P113" t="s">
        <v>278</v>
      </c>
      <c r="Q113">
        <v>1</v>
      </c>
      <c r="X113">
        <v>12.61</v>
      </c>
      <c r="Y113">
        <v>0</v>
      </c>
      <c r="Z113">
        <v>1</v>
      </c>
      <c r="AA113">
        <v>0</v>
      </c>
      <c r="AB113">
        <v>0</v>
      </c>
      <c r="AC113">
        <v>0</v>
      </c>
      <c r="AD113">
        <v>1</v>
      </c>
      <c r="AE113">
        <v>0</v>
      </c>
      <c r="AF113" t="s">
        <v>3</v>
      </c>
      <c r="AG113">
        <v>12.61</v>
      </c>
      <c r="AH113">
        <v>2</v>
      </c>
      <c r="AI113">
        <v>45748537</v>
      </c>
      <c r="AJ113">
        <v>113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</row>
    <row r="114" spans="1:44" x14ac:dyDescent="0.2">
      <c r="A114">
        <f>ROW(Source!A159)</f>
        <v>159</v>
      </c>
      <c r="B114">
        <v>45748538</v>
      </c>
      <c r="C114">
        <v>45748536</v>
      </c>
      <c r="D114">
        <v>24859885</v>
      </c>
      <c r="E114">
        <v>24859158</v>
      </c>
      <c r="F114">
        <v>1</v>
      </c>
      <c r="G114">
        <v>24859158</v>
      </c>
      <c r="H114">
        <v>2</v>
      </c>
      <c r="I114" t="s">
        <v>276</v>
      </c>
      <c r="J114" t="s">
        <v>3</v>
      </c>
      <c r="K114" t="s">
        <v>277</v>
      </c>
      <c r="L114">
        <v>1344</v>
      </c>
      <c r="N114">
        <v>1008</v>
      </c>
      <c r="O114" t="s">
        <v>278</v>
      </c>
      <c r="P114" t="s">
        <v>278</v>
      </c>
      <c r="Q114">
        <v>1</v>
      </c>
      <c r="X114">
        <v>12.61</v>
      </c>
      <c r="Y114">
        <v>0</v>
      </c>
      <c r="Z114">
        <v>1</v>
      </c>
      <c r="AA114">
        <v>0</v>
      </c>
      <c r="AB114">
        <v>0</v>
      </c>
      <c r="AC114">
        <v>0</v>
      </c>
      <c r="AD114">
        <v>1</v>
      </c>
      <c r="AE114">
        <v>0</v>
      </c>
      <c r="AF114" t="s">
        <v>3</v>
      </c>
      <c r="AG114">
        <v>12.61</v>
      </c>
      <c r="AH114">
        <v>2</v>
      </c>
      <c r="AI114">
        <v>45748537</v>
      </c>
      <c r="AJ114">
        <v>114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x14ac:dyDescent="0.2">
      <c r="A115">
        <f>ROW(Source!A160)</f>
        <v>160</v>
      </c>
      <c r="B115">
        <v>45748573</v>
      </c>
      <c r="C115">
        <v>45748539</v>
      </c>
      <c r="D115">
        <v>24859163</v>
      </c>
      <c r="E115">
        <v>24859158</v>
      </c>
      <c r="F115">
        <v>1</v>
      </c>
      <c r="G115">
        <v>24859158</v>
      </c>
      <c r="H115">
        <v>1</v>
      </c>
      <c r="I115" t="s">
        <v>263</v>
      </c>
      <c r="J115" t="s">
        <v>3</v>
      </c>
      <c r="K115" t="s">
        <v>264</v>
      </c>
      <c r="L115">
        <v>1191</v>
      </c>
      <c r="N115">
        <v>1013</v>
      </c>
      <c r="O115" t="s">
        <v>265</v>
      </c>
      <c r="P115" t="s">
        <v>265</v>
      </c>
      <c r="Q115">
        <v>1</v>
      </c>
      <c r="X115">
        <v>26.78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1</v>
      </c>
      <c r="AE115">
        <v>1</v>
      </c>
      <c r="AF115" t="s">
        <v>3</v>
      </c>
      <c r="AG115">
        <v>26.78</v>
      </c>
      <c r="AH115">
        <v>2</v>
      </c>
      <c r="AI115">
        <v>45748573</v>
      </c>
      <c r="AJ115">
        <v>115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x14ac:dyDescent="0.2">
      <c r="A116">
        <f>ROW(Source!A160)</f>
        <v>160</v>
      </c>
      <c r="B116">
        <v>45748574</v>
      </c>
      <c r="C116">
        <v>45748539</v>
      </c>
      <c r="D116">
        <v>24931592</v>
      </c>
      <c r="E116">
        <v>1</v>
      </c>
      <c r="F116">
        <v>1</v>
      </c>
      <c r="G116">
        <v>24859158</v>
      </c>
      <c r="H116">
        <v>2</v>
      </c>
      <c r="I116" t="s">
        <v>330</v>
      </c>
      <c r="J116" t="s">
        <v>331</v>
      </c>
      <c r="K116" t="s">
        <v>332</v>
      </c>
      <c r="L116">
        <v>1367</v>
      </c>
      <c r="N116">
        <v>1011</v>
      </c>
      <c r="O116" t="s">
        <v>269</v>
      </c>
      <c r="P116" t="s">
        <v>269</v>
      </c>
      <c r="Q116">
        <v>1</v>
      </c>
      <c r="X116">
        <v>0.05</v>
      </c>
      <c r="Y116">
        <v>0</v>
      </c>
      <c r="Z116">
        <v>97.24</v>
      </c>
      <c r="AA116">
        <v>12.9</v>
      </c>
      <c r="AB116">
        <v>0</v>
      </c>
      <c r="AC116">
        <v>0</v>
      </c>
      <c r="AD116">
        <v>1</v>
      </c>
      <c r="AE116">
        <v>0</v>
      </c>
      <c r="AF116" t="s">
        <v>3</v>
      </c>
      <c r="AG116">
        <v>0.05</v>
      </c>
      <c r="AH116">
        <v>2</v>
      </c>
      <c r="AI116">
        <v>45748574</v>
      </c>
      <c r="AJ116">
        <v>116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x14ac:dyDescent="0.2">
      <c r="A117">
        <f>ROW(Source!A160)</f>
        <v>160</v>
      </c>
      <c r="B117">
        <v>45748575</v>
      </c>
      <c r="C117">
        <v>45748539</v>
      </c>
      <c r="D117">
        <v>24859885</v>
      </c>
      <c r="E117">
        <v>24859158</v>
      </c>
      <c r="F117">
        <v>1</v>
      </c>
      <c r="G117">
        <v>24859158</v>
      </c>
      <c r="H117">
        <v>2</v>
      </c>
      <c r="I117" t="s">
        <v>276</v>
      </c>
      <c r="J117" t="s">
        <v>3</v>
      </c>
      <c r="K117" t="s">
        <v>277</v>
      </c>
      <c r="L117">
        <v>1344</v>
      </c>
      <c r="N117">
        <v>1008</v>
      </c>
      <c r="O117" t="s">
        <v>278</v>
      </c>
      <c r="P117" t="s">
        <v>278</v>
      </c>
      <c r="Q117">
        <v>1</v>
      </c>
      <c r="X117">
        <v>0.12</v>
      </c>
      <c r="Y117">
        <v>0</v>
      </c>
      <c r="Z117">
        <v>1</v>
      </c>
      <c r="AA117">
        <v>0</v>
      </c>
      <c r="AB117">
        <v>0</v>
      </c>
      <c r="AC117">
        <v>0</v>
      </c>
      <c r="AD117">
        <v>1</v>
      </c>
      <c r="AE117">
        <v>0</v>
      </c>
      <c r="AF117" t="s">
        <v>3</v>
      </c>
      <c r="AG117">
        <v>0.12</v>
      </c>
      <c r="AH117">
        <v>2</v>
      </c>
      <c r="AI117">
        <v>45748575</v>
      </c>
      <c r="AJ117">
        <v>117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 x14ac:dyDescent="0.2">
      <c r="A118">
        <f>ROW(Source!A160)</f>
        <v>160</v>
      </c>
      <c r="B118">
        <v>45748576</v>
      </c>
      <c r="C118">
        <v>45748539</v>
      </c>
      <c r="D118">
        <v>24872557</v>
      </c>
      <c r="E118">
        <v>24859158</v>
      </c>
      <c r="F118">
        <v>1</v>
      </c>
      <c r="G118">
        <v>24859158</v>
      </c>
      <c r="H118">
        <v>3</v>
      </c>
      <c r="I118" t="s">
        <v>345</v>
      </c>
      <c r="J118" t="s">
        <v>3</v>
      </c>
      <c r="K118" t="s">
        <v>235</v>
      </c>
      <c r="L118">
        <v>1339</v>
      </c>
      <c r="N118">
        <v>1007</v>
      </c>
      <c r="O118" t="s">
        <v>150</v>
      </c>
      <c r="P118" t="s">
        <v>150</v>
      </c>
      <c r="Q118">
        <v>1</v>
      </c>
      <c r="X118">
        <v>15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 t="s">
        <v>3</v>
      </c>
      <c r="AG118">
        <v>15</v>
      </c>
      <c r="AH118">
        <v>3</v>
      </c>
      <c r="AI118">
        <v>-1</v>
      </c>
      <c r="AJ118" t="s">
        <v>3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x14ac:dyDescent="0.2">
      <c r="A119">
        <f>ROW(Source!A161)</f>
        <v>161</v>
      </c>
      <c r="B119">
        <v>45748573</v>
      </c>
      <c r="C119">
        <v>45748539</v>
      </c>
      <c r="D119">
        <v>24859163</v>
      </c>
      <c r="E119">
        <v>24859158</v>
      </c>
      <c r="F119">
        <v>1</v>
      </c>
      <c r="G119">
        <v>24859158</v>
      </c>
      <c r="H119">
        <v>1</v>
      </c>
      <c r="I119" t="s">
        <v>263</v>
      </c>
      <c r="J119" t="s">
        <v>3</v>
      </c>
      <c r="K119" t="s">
        <v>264</v>
      </c>
      <c r="L119">
        <v>1191</v>
      </c>
      <c r="N119">
        <v>1013</v>
      </c>
      <c r="O119" t="s">
        <v>265</v>
      </c>
      <c r="P119" t="s">
        <v>265</v>
      </c>
      <c r="Q119">
        <v>1</v>
      </c>
      <c r="X119">
        <v>26.78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1</v>
      </c>
      <c r="AE119">
        <v>1</v>
      </c>
      <c r="AF119" t="s">
        <v>3</v>
      </c>
      <c r="AG119">
        <v>26.78</v>
      </c>
      <c r="AH119">
        <v>2</v>
      </c>
      <c r="AI119">
        <v>45748573</v>
      </c>
      <c r="AJ119">
        <v>119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</row>
    <row r="120" spans="1:44" x14ac:dyDescent="0.2">
      <c r="A120">
        <f>ROW(Source!A161)</f>
        <v>161</v>
      </c>
      <c r="B120">
        <v>45748574</v>
      </c>
      <c r="C120">
        <v>45748539</v>
      </c>
      <c r="D120">
        <v>24931592</v>
      </c>
      <c r="E120">
        <v>1</v>
      </c>
      <c r="F120">
        <v>1</v>
      </c>
      <c r="G120">
        <v>24859158</v>
      </c>
      <c r="H120">
        <v>2</v>
      </c>
      <c r="I120" t="s">
        <v>330</v>
      </c>
      <c r="J120" t="s">
        <v>331</v>
      </c>
      <c r="K120" t="s">
        <v>332</v>
      </c>
      <c r="L120">
        <v>1367</v>
      </c>
      <c r="N120">
        <v>1011</v>
      </c>
      <c r="O120" t="s">
        <v>269</v>
      </c>
      <c r="P120" t="s">
        <v>269</v>
      </c>
      <c r="Q120">
        <v>1</v>
      </c>
      <c r="X120">
        <v>0.05</v>
      </c>
      <c r="Y120">
        <v>0</v>
      </c>
      <c r="Z120">
        <v>97.24</v>
      </c>
      <c r="AA120">
        <v>12.9</v>
      </c>
      <c r="AB120">
        <v>0</v>
      </c>
      <c r="AC120">
        <v>0</v>
      </c>
      <c r="AD120">
        <v>1</v>
      </c>
      <c r="AE120">
        <v>0</v>
      </c>
      <c r="AF120" t="s">
        <v>3</v>
      </c>
      <c r="AG120">
        <v>0.05</v>
      </c>
      <c r="AH120">
        <v>2</v>
      </c>
      <c r="AI120">
        <v>45748574</v>
      </c>
      <c r="AJ120">
        <v>120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</row>
    <row r="121" spans="1:44" x14ac:dyDescent="0.2">
      <c r="A121">
        <f>ROW(Source!A161)</f>
        <v>161</v>
      </c>
      <c r="B121">
        <v>45748575</v>
      </c>
      <c r="C121">
        <v>45748539</v>
      </c>
      <c r="D121">
        <v>24859885</v>
      </c>
      <c r="E121">
        <v>24859158</v>
      </c>
      <c r="F121">
        <v>1</v>
      </c>
      <c r="G121">
        <v>24859158</v>
      </c>
      <c r="H121">
        <v>2</v>
      </c>
      <c r="I121" t="s">
        <v>276</v>
      </c>
      <c r="J121" t="s">
        <v>3</v>
      </c>
      <c r="K121" t="s">
        <v>277</v>
      </c>
      <c r="L121">
        <v>1344</v>
      </c>
      <c r="N121">
        <v>1008</v>
      </c>
      <c r="O121" t="s">
        <v>278</v>
      </c>
      <c r="P121" t="s">
        <v>278</v>
      </c>
      <c r="Q121">
        <v>1</v>
      </c>
      <c r="X121">
        <v>0.12</v>
      </c>
      <c r="Y121">
        <v>0</v>
      </c>
      <c r="Z121">
        <v>1</v>
      </c>
      <c r="AA121">
        <v>0</v>
      </c>
      <c r="AB121">
        <v>0</v>
      </c>
      <c r="AC121">
        <v>0</v>
      </c>
      <c r="AD121">
        <v>1</v>
      </c>
      <c r="AE121">
        <v>0</v>
      </c>
      <c r="AF121" t="s">
        <v>3</v>
      </c>
      <c r="AG121">
        <v>0.12</v>
      </c>
      <c r="AH121">
        <v>2</v>
      </c>
      <c r="AI121">
        <v>45748575</v>
      </c>
      <c r="AJ121">
        <v>121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</row>
    <row r="122" spans="1:44" x14ac:dyDescent="0.2">
      <c r="A122">
        <f>ROW(Source!A161)</f>
        <v>161</v>
      </c>
      <c r="B122">
        <v>45748576</v>
      </c>
      <c r="C122">
        <v>45748539</v>
      </c>
      <c r="D122">
        <v>24872557</v>
      </c>
      <c r="E122">
        <v>24859158</v>
      </c>
      <c r="F122">
        <v>1</v>
      </c>
      <c r="G122">
        <v>24859158</v>
      </c>
      <c r="H122">
        <v>3</v>
      </c>
      <c r="I122" t="s">
        <v>345</v>
      </c>
      <c r="J122" t="s">
        <v>3</v>
      </c>
      <c r="K122" t="s">
        <v>235</v>
      </c>
      <c r="L122">
        <v>1339</v>
      </c>
      <c r="N122">
        <v>1007</v>
      </c>
      <c r="O122" t="s">
        <v>150</v>
      </c>
      <c r="P122" t="s">
        <v>150</v>
      </c>
      <c r="Q122">
        <v>1</v>
      </c>
      <c r="X122">
        <v>15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 t="s">
        <v>3</v>
      </c>
      <c r="AG122">
        <v>15</v>
      </c>
      <c r="AH122">
        <v>3</v>
      </c>
      <c r="AI122">
        <v>-1</v>
      </c>
      <c r="AJ122" t="s">
        <v>3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</row>
    <row r="123" spans="1:44" x14ac:dyDescent="0.2">
      <c r="A123">
        <f>ROW(Source!A164)</f>
        <v>164</v>
      </c>
      <c r="B123">
        <v>45748552</v>
      </c>
      <c r="C123">
        <v>45748549</v>
      </c>
      <c r="D123">
        <v>24859163</v>
      </c>
      <c r="E123">
        <v>24859158</v>
      </c>
      <c r="F123">
        <v>1</v>
      </c>
      <c r="G123">
        <v>24859158</v>
      </c>
      <c r="H123">
        <v>1</v>
      </c>
      <c r="I123" t="s">
        <v>263</v>
      </c>
      <c r="J123" t="s">
        <v>3</v>
      </c>
      <c r="K123" t="s">
        <v>264</v>
      </c>
      <c r="L123">
        <v>1191</v>
      </c>
      <c r="N123">
        <v>1013</v>
      </c>
      <c r="O123" t="s">
        <v>265</v>
      </c>
      <c r="P123" t="s">
        <v>265</v>
      </c>
      <c r="Q123">
        <v>1</v>
      </c>
      <c r="X123">
        <v>40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1</v>
      </c>
      <c r="AE123">
        <v>1</v>
      </c>
      <c r="AF123" t="s">
        <v>3</v>
      </c>
      <c r="AG123">
        <v>40</v>
      </c>
      <c r="AH123">
        <v>2</v>
      </c>
      <c r="AI123">
        <v>45748550</v>
      </c>
      <c r="AJ123">
        <v>123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</row>
    <row r="124" spans="1:44" x14ac:dyDescent="0.2">
      <c r="A124">
        <f>ROW(Source!A164)</f>
        <v>164</v>
      </c>
      <c r="B124">
        <v>45748553</v>
      </c>
      <c r="C124">
        <v>45748549</v>
      </c>
      <c r="D124">
        <v>24872255</v>
      </c>
      <c r="E124">
        <v>24859158</v>
      </c>
      <c r="F124">
        <v>1</v>
      </c>
      <c r="G124">
        <v>24859158</v>
      </c>
      <c r="H124">
        <v>3</v>
      </c>
      <c r="I124" t="s">
        <v>345</v>
      </c>
      <c r="J124" t="s">
        <v>3</v>
      </c>
      <c r="K124" t="s">
        <v>235</v>
      </c>
      <c r="L124">
        <v>1339</v>
      </c>
      <c r="N124">
        <v>1007</v>
      </c>
      <c r="O124" t="s">
        <v>150</v>
      </c>
      <c r="P124" t="s">
        <v>150</v>
      </c>
      <c r="Q124">
        <v>1</v>
      </c>
      <c r="X124">
        <v>15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 t="s">
        <v>3</v>
      </c>
      <c r="AG124">
        <v>15</v>
      </c>
      <c r="AH124">
        <v>3</v>
      </c>
      <c r="AI124">
        <v>-1</v>
      </c>
      <c r="AJ124" t="s">
        <v>3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</row>
    <row r="125" spans="1:44" x14ac:dyDescent="0.2">
      <c r="A125">
        <f>ROW(Source!A165)</f>
        <v>165</v>
      </c>
      <c r="B125">
        <v>45748552</v>
      </c>
      <c r="C125">
        <v>45748549</v>
      </c>
      <c r="D125">
        <v>24859163</v>
      </c>
      <c r="E125">
        <v>24859158</v>
      </c>
      <c r="F125">
        <v>1</v>
      </c>
      <c r="G125">
        <v>24859158</v>
      </c>
      <c r="H125">
        <v>1</v>
      </c>
      <c r="I125" t="s">
        <v>263</v>
      </c>
      <c r="J125" t="s">
        <v>3</v>
      </c>
      <c r="K125" t="s">
        <v>264</v>
      </c>
      <c r="L125">
        <v>1191</v>
      </c>
      <c r="N125">
        <v>1013</v>
      </c>
      <c r="O125" t="s">
        <v>265</v>
      </c>
      <c r="P125" t="s">
        <v>265</v>
      </c>
      <c r="Q125">
        <v>1</v>
      </c>
      <c r="X125">
        <v>40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1</v>
      </c>
      <c r="AE125">
        <v>1</v>
      </c>
      <c r="AF125" t="s">
        <v>3</v>
      </c>
      <c r="AG125">
        <v>40</v>
      </c>
      <c r="AH125">
        <v>2</v>
      </c>
      <c r="AI125">
        <v>45748550</v>
      </c>
      <c r="AJ125">
        <v>125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</row>
    <row r="126" spans="1:44" x14ac:dyDescent="0.2">
      <c r="A126">
        <f>ROW(Source!A165)</f>
        <v>165</v>
      </c>
      <c r="B126">
        <v>45748553</v>
      </c>
      <c r="C126">
        <v>45748549</v>
      </c>
      <c r="D126">
        <v>24872255</v>
      </c>
      <c r="E126">
        <v>24859158</v>
      </c>
      <c r="F126">
        <v>1</v>
      </c>
      <c r="G126">
        <v>24859158</v>
      </c>
      <c r="H126">
        <v>3</v>
      </c>
      <c r="I126" t="s">
        <v>345</v>
      </c>
      <c r="J126" t="s">
        <v>3</v>
      </c>
      <c r="K126" t="s">
        <v>235</v>
      </c>
      <c r="L126">
        <v>1339</v>
      </c>
      <c r="N126">
        <v>1007</v>
      </c>
      <c r="O126" t="s">
        <v>150</v>
      </c>
      <c r="P126" t="s">
        <v>150</v>
      </c>
      <c r="Q126">
        <v>1</v>
      </c>
      <c r="X126">
        <v>15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 t="s">
        <v>3</v>
      </c>
      <c r="AG126">
        <v>15</v>
      </c>
      <c r="AH126">
        <v>3</v>
      </c>
      <c r="AI126">
        <v>-1</v>
      </c>
      <c r="AJ126" t="s">
        <v>3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</row>
    <row r="127" spans="1:44" x14ac:dyDescent="0.2">
      <c r="A127">
        <f>ROW(Source!A168)</f>
        <v>168</v>
      </c>
      <c r="B127">
        <v>45748565</v>
      </c>
      <c r="C127">
        <v>45748561</v>
      </c>
      <c r="D127">
        <v>24859163</v>
      </c>
      <c r="E127">
        <v>24859158</v>
      </c>
      <c r="F127">
        <v>1</v>
      </c>
      <c r="G127">
        <v>24859158</v>
      </c>
      <c r="H127">
        <v>1</v>
      </c>
      <c r="I127" t="s">
        <v>263</v>
      </c>
      <c r="J127" t="s">
        <v>3</v>
      </c>
      <c r="K127" t="s">
        <v>264</v>
      </c>
      <c r="L127">
        <v>1191</v>
      </c>
      <c r="N127">
        <v>1013</v>
      </c>
      <c r="O127" t="s">
        <v>265</v>
      </c>
      <c r="P127" t="s">
        <v>265</v>
      </c>
      <c r="Q127">
        <v>1</v>
      </c>
      <c r="X127">
        <v>5.25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1</v>
      </c>
      <c r="AE127">
        <v>1</v>
      </c>
      <c r="AF127" t="s">
        <v>3</v>
      </c>
      <c r="AG127">
        <v>5.25</v>
      </c>
      <c r="AH127">
        <v>2</v>
      </c>
      <c r="AI127">
        <v>45748562</v>
      </c>
      <c r="AJ127">
        <v>127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</row>
    <row r="128" spans="1:44" x14ac:dyDescent="0.2">
      <c r="A128">
        <f>ROW(Source!A168)</f>
        <v>168</v>
      </c>
      <c r="B128">
        <v>45748566</v>
      </c>
      <c r="C128">
        <v>45748561</v>
      </c>
      <c r="D128">
        <v>24907493</v>
      </c>
      <c r="E128">
        <v>1</v>
      </c>
      <c r="F128">
        <v>1</v>
      </c>
      <c r="G128">
        <v>24859158</v>
      </c>
      <c r="H128">
        <v>3</v>
      </c>
      <c r="I128" t="s">
        <v>300</v>
      </c>
      <c r="J128" t="s">
        <v>301</v>
      </c>
      <c r="K128" t="s">
        <v>302</v>
      </c>
      <c r="L128">
        <v>1339</v>
      </c>
      <c r="N128">
        <v>1007</v>
      </c>
      <c r="O128" t="s">
        <v>150</v>
      </c>
      <c r="P128" t="s">
        <v>150</v>
      </c>
      <c r="Q128">
        <v>1</v>
      </c>
      <c r="X128">
        <v>10</v>
      </c>
      <c r="Y128">
        <v>7.07</v>
      </c>
      <c r="Z128">
        <v>0</v>
      </c>
      <c r="AA128">
        <v>0</v>
      </c>
      <c r="AB128">
        <v>0</v>
      </c>
      <c r="AC128">
        <v>0</v>
      </c>
      <c r="AD128">
        <v>1</v>
      </c>
      <c r="AE128">
        <v>0</v>
      </c>
      <c r="AF128" t="s">
        <v>3</v>
      </c>
      <c r="AG128">
        <v>10</v>
      </c>
      <c r="AH128">
        <v>2</v>
      </c>
      <c r="AI128">
        <v>45748563</v>
      </c>
      <c r="AJ128">
        <v>128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</row>
    <row r="129" spans="1:44" x14ac:dyDescent="0.2">
      <c r="A129">
        <f>ROW(Source!A168)</f>
        <v>168</v>
      </c>
      <c r="B129">
        <v>45748567</v>
      </c>
      <c r="C129">
        <v>45748561</v>
      </c>
      <c r="D129">
        <v>24873428</v>
      </c>
      <c r="E129">
        <v>24859158</v>
      </c>
      <c r="F129">
        <v>1</v>
      </c>
      <c r="G129">
        <v>24859158</v>
      </c>
      <c r="H129">
        <v>3</v>
      </c>
      <c r="I129" t="s">
        <v>346</v>
      </c>
      <c r="J129" t="s">
        <v>3</v>
      </c>
      <c r="K129" t="s">
        <v>347</v>
      </c>
      <c r="L129">
        <v>1346</v>
      </c>
      <c r="N129">
        <v>1009</v>
      </c>
      <c r="O129" t="s">
        <v>249</v>
      </c>
      <c r="P129" t="s">
        <v>249</v>
      </c>
      <c r="Q129">
        <v>1</v>
      </c>
      <c r="X129">
        <v>4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 t="s">
        <v>3</v>
      </c>
      <c r="AG129">
        <v>4</v>
      </c>
      <c r="AH129">
        <v>3</v>
      </c>
      <c r="AI129">
        <v>-1</v>
      </c>
      <c r="AJ129" t="s">
        <v>3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</row>
    <row r="130" spans="1:44" x14ac:dyDescent="0.2">
      <c r="A130">
        <f>ROW(Source!A169)</f>
        <v>169</v>
      </c>
      <c r="B130">
        <v>45748565</v>
      </c>
      <c r="C130">
        <v>45748561</v>
      </c>
      <c r="D130">
        <v>24859163</v>
      </c>
      <c r="E130">
        <v>24859158</v>
      </c>
      <c r="F130">
        <v>1</v>
      </c>
      <c r="G130">
        <v>24859158</v>
      </c>
      <c r="H130">
        <v>1</v>
      </c>
      <c r="I130" t="s">
        <v>263</v>
      </c>
      <c r="J130" t="s">
        <v>3</v>
      </c>
      <c r="K130" t="s">
        <v>264</v>
      </c>
      <c r="L130">
        <v>1191</v>
      </c>
      <c r="N130">
        <v>1013</v>
      </c>
      <c r="O130" t="s">
        <v>265</v>
      </c>
      <c r="P130" t="s">
        <v>265</v>
      </c>
      <c r="Q130">
        <v>1</v>
      </c>
      <c r="X130">
        <v>5.25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1</v>
      </c>
      <c r="AE130">
        <v>1</v>
      </c>
      <c r="AF130" t="s">
        <v>3</v>
      </c>
      <c r="AG130">
        <v>5.25</v>
      </c>
      <c r="AH130">
        <v>2</v>
      </c>
      <c r="AI130">
        <v>45748562</v>
      </c>
      <c r="AJ130">
        <v>130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</row>
    <row r="131" spans="1:44" x14ac:dyDescent="0.2">
      <c r="A131">
        <f>ROW(Source!A169)</f>
        <v>169</v>
      </c>
      <c r="B131">
        <v>45748566</v>
      </c>
      <c r="C131">
        <v>45748561</v>
      </c>
      <c r="D131">
        <v>24907493</v>
      </c>
      <c r="E131">
        <v>1</v>
      </c>
      <c r="F131">
        <v>1</v>
      </c>
      <c r="G131">
        <v>24859158</v>
      </c>
      <c r="H131">
        <v>3</v>
      </c>
      <c r="I131" t="s">
        <v>300</v>
      </c>
      <c r="J131" t="s">
        <v>301</v>
      </c>
      <c r="K131" t="s">
        <v>302</v>
      </c>
      <c r="L131">
        <v>1339</v>
      </c>
      <c r="N131">
        <v>1007</v>
      </c>
      <c r="O131" t="s">
        <v>150</v>
      </c>
      <c r="P131" t="s">
        <v>150</v>
      </c>
      <c r="Q131">
        <v>1</v>
      </c>
      <c r="X131">
        <v>10</v>
      </c>
      <c r="Y131">
        <v>7.07</v>
      </c>
      <c r="Z131">
        <v>0</v>
      </c>
      <c r="AA131">
        <v>0</v>
      </c>
      <c r="AB131">
        <v>0</v>
      </c>
      <c r="AC131">
        <v>0</v>
      </c>
      <c r="AD131">
        <v>1</v>
      </c>
      <c r="AE131">
        <v>0</v>
      </c>
      <c r="AF131" t="s">
        <v>3</v>
      </c>
      <c r="AG131">
        <v>10</v>
      </c>
      <c r="AH131">
        <v>2</v>
      </c>
      <c r="AI131">
        <v>45748563</v>
      </c>
      <c r="AJ131">
        <v>131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</row>
    <row r="132" spans="1:44" x14ac:dyDescent="0.2">
      <c r="A132">
        <f>ROW(Source!A169)</f>
        <v>169</v>
      </c>
      <c r="B132">
        <v>45748567</v>
      </c>
      <c r="C132">
        <v>45748561</v>
      </c>
      <c r="D132">
        <v>24873428</v>
      </c>
      <c r="E132">
        <v>24859158</v>
      </c>
      <c r="F132">
        <v>1</v>
      </c>
      <c r="G132">
        <v>24859158</v>
      </c>
      <c r="H132">
        <v>3</v>
      </c>
      <c r="I132" t="s">
        <v>346</v>
      </c>
      <c r="J132" t="s">
        <v>3</v>
      </c>
      <c r="K132" t="s">
        <v>347</v>
      </c>
      <c r="L132">
        <v>1346</v>
      </c>
      <c r="N132">
        <v>1009</v>
      </c>
      <c r="O132" t="s">
        <v>249</v>
      </c>
      <c r="P132" t="s">
        <v>249</v>
      </c>
      <c r="Q132">
        <v>1</v>
      </c>
      <c r="X132">
        <v>4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 t="s">
        <v>3</v>
      </c>
      <c r="AG132">
        <v>4</v>
      </c>
      <c r="AH132">
        <v>3</v>
      </c>
      <c r="AI132">
        <v>-1</v>
      </c>
      <c r="AJ132" t="s">
        <v>3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6</vt:i4>
      </vt:variant>
    </vt:vector>
  </HeadingPairs>
  <TitlesOfParts>
    <vt:vector size="14" baseType="lpstr">
      <vt:lpstr>Смета по ТСН-2001</vt:lpstr>
      <vt:lpstr>RV_DATA</vt:lpstr>
      <vt:lpstr>Расчет стоимости ресурсов</vt:lpstr>
      <vt:lpstr>Ведомость объемов работ</vt:lpstr>
      <vt:lpstr>Source</vt:lpstr>
      <vt:lpstr>SourceObSm</vt:lpstr>
      <vt:lpstr>SmtRes</vt:lpstr>
      <vt:lpstr>EtalonRes</vt:lpstr>
      <vt:lpstr>'Ведомость объемов работ'!Заголовки_для_печати</vt:lpstr>
      <vt:lpstr>'Расчет стоимости ресурсов'!Заголовки_для_печати</vt:lpstr>
      <vt:lpstr>'Смета по ТСН-2001'!Заголовки_для_печати</vt:lpstr>
      <vt:lpstr>'Ведомость объемов работ'!Область_печати</vt:lpstr>
      <vt:lpstr>'Расчет стоимости ресурсов'!Область_печати</vt:lpstr>
      <vt:lpstr>'Смета по ТСН-2001'!Область_печати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Сухарникова Ирина Николаевна</dc:creator>
  <cp:lastModifiedBy>Сухарникова Ирина Николаевна</cp:lastModifiedBy>
  <dcterms:created xsi:type="dcterms:W3CDTF">2021-05-13T14:22:18Z</dcterms:created>
  <dcterms:modified xsi:type="dcterms:W3CDTF">2021-06-17T10:03:51Z</dcterms:modified>
</cp:coreProperties>
</file>